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<sst xmlns="http://schemas.openxmlformats.org/spreadsheetml/2006/main" count="75" uniqueCount="57">
  <si>
    <t>宝发应交税费明细表</t>
  </si>
  <si>
    <t>2026.4.7</t>
  </si>
  <si>
    <t>税目名称</t>
  </si>
  <si>
    <t>期间</t>
  </si>
  <si>
    <t>计税依据</t>
  </si>
  <si>
    <t>税率</t>
  </si>
  <si>
    <t>应缴税金</t>
  </si>
  <si>
    <t>实缴</t>
  </si>
  <si>
    <t>备注</t>
  </si>
  <si>
    <t>增值税</t>
  </si>
  <si>
    <t>2026.1-3月</t>
  </si>
  <si>
    <t>第一季度应结传收入</t>
  </si>
  <si>
    <t>城建税</t>
  </si>
  <si>
    <t>增值税小规模纳税人
“六税两费”减征政
策,减按50%征收</t>
  </si>
  <si>
    <t>1月从租依据</t>
  </si>
  <si>
    <t>教育费附加</t>
  </si>
  <si>
    <t>地方教育费附加</t>
  </si>
  <si>
    <t>1-2月已交房产税</t>
  </si>
  <si>
    <t>1-6月从租应计提</t>
  </si>
  <si>
    <t>2月从租依据</t>
  </si>
  <si>
    <t>房产税（库尔勒从租）</t>
  </si>
  <si>
    <t>2026.3月-6月</t>
  </si>
  <si>
    <t>房产税（阿克苏从租）</t>
  </si>
  <si>
    <t>3月从租依据</t>
  </si>
  <si>
    <t>房产税（库尔勒从价）</t>
  </si>
  <si>
    <t>2026.1-6月</t>
  </si>
  <si>
    <t>房产税（阿克苏从价）</t>
  </si>
  <si>
    <t>注：租赁收入与从租房产税计税依据一致</t>
  </si>
  <si>
    <t>印花税（租赁）</t>
  </si>
  <si>
    <t>企业所得税</t>
  </si>
  <si>
    <t>工会经费</t>
  </si>
  <si>
    <t>城镇土地使用税</t>
  </si>
  <si>
    <t xml:space="preserve">合计 </t>
  </si>
  <si>
    <t>其他业务收入</t>
  </si>
  <si>
    <t>营业外收入</t>
  </si>
  <si>
    <t>税金及附加</t>
  </si>
  <si>
    <t>管理费用</t>
  </si>
  <si>
    <t>财务费用</t>
  </si>
  <si>
    <t>营业外支出</t>
  </si>
  <si>
    <t>利润总额</t>
  </si>
  <si>
    <t>弥补以前年度亏损</t>
  </si>
  <si>
    <t>所得税费用</t>
  </si>
  <si>
    <t>应纳税所得额</t>
  </si>
  <si>
    <t>应纳税额</t>
  </si>
  <si>
    <t>天鹅水景</t>
  </si>
  <si>
    <t>房屋</t>
  </si>
  <si>
    <t>土地占用面积</t>
  </si>
  <si>
    <t>土地等级：一级</t>
  </si>
  <si>
    <t>所属期起至</t>
  </si>
  <si>
    <t>金额</t>
  </si>
  <si>
    <r>
      <rPr>
        <sz val="10"/>
        <color rgb="FF333333"/>
        <rFont val="宋体"/>
        <charset val="134"/>
      </rPr>
      <t>减免税额</t>
    </r>
    <r>
      <rPr>
        <sz val="10"/>
        <color rgb="FF333333"/>
        <rFont val="Arial"/>
        <charset val="134"/>
      </rPr>
      <t>50%</t>
    </r>
  </si>
  <si>
    <t>11元每平方米</t>
  </si>
  <si>
    <t>2026.1.1-2026.6.30</t>
  </si>
  <si>
    <t>合计</t>
  </si>
  <si>
    <t>人民市场土地使用税</t>
  </si>
  <si>
    <t>一栋</t>
  </si>
  <si>
    <t>8元每平方米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</si>
</sst>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4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name val="宋体"/>
      <charset val="1"/>
    </font>
    <font>
      <sz val="11"/>
      <name val="宋体"/>
      <charset val="1"/>
    </font>
    <font>
      <b/>
      <sz val="18"/>
      <color indexed="8"/>
      <name val="宋体"/>
      <charset val="134"/>
      <scheme val="minor"/>
    </font>
    <font>
      <sz val="10"/>
      <color rgb="FF333333"/>
      <name val="MicroSoft YaHei"/>
      <charset val="134"/>
    </font>
    <font>
      <sz val="10"/>
      <color rgb="FF333333"/>
      <name val="宋体"/>
      <charset val="134"/>
    </font>
    <font>
      <sz val="10"/>
      <color rgb="FF666666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333333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9" fillId="0" borderId="0">
      <alignment vertical="top"/>
      <protection locked="0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9" fontId="5" fillId="0" borderId="1" xfId="3" applyFont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9" fontId="5" fillId="0" borderId="1" xfId="3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2" fillId="0" borderId="0" xfId="0" applyNumberFormat="1" applyFont="1" applyFill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177" fontId="5" fillId="0" borderId="1" xfId="3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5" fillId="0" borderId="1" xfId="3" applyNumberFormat="1" applyFont="1" applyFill="1" applyBorder="1" applyAlignment="1" applyProtection="1">
      <alignment horizontal="center" vertical="center"/>
    </xf>
    <xf numFmtId="176" fontId="7" fillId="0" borderId="0" xfId="0" applyNumberFormat="1" applyFont="1" applyFill="1" applyAlignment="1">
      <alignment vertical="center"/>
    </xf>
    <xf numFmtId="43" fontId="5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10" fontId="5" fillId="0" borderId="1" xfId="3" applyNumberFormat="1" applyFont="1" applyBorder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43" fontId="8" fillId="0" borderId="4" xfId="49" applyNumberFormat="1" applyFont="1" applyFill="1" applyBorder="1" applyAlignment="1" applyProtection="1">
      <protection locked="0"/>
    </xf>
    <xf numFmtId="43" fontId="9" fillId="0" borderId="4" xfId="49" applyNumberFormat="1" applyFont="1" applyFill="1" applyBorder="1" applyAlignment="1" applyProtection="1">
      <protection locked="0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176" fontId="2" fillId="0" borderId="3" xfId="0" applyNumberFormat="1" applyFont="1" applyFill="1" applyBorder="1" applyAlignment="1">
      <alignment horizontal="center" vertical="center" shrinkToFit="1"/>
    </xf>
    <xf numFmtId="176" fontId="11" fillId="0" borderId="3" xfId="0" applyNumberFormat="1" applyFont="1" applyFill="1" applyBorder="1" applyAlignment="1">
      <alignment horizontal="center" vertical="center" shrinkToFit="1"/>
    </xf>
    <xf numFmtId="176" fontId="12" fillId="0" borderId="3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176" fontId="2" fillId="0" borderId="0" xfId="0" applyNumberFormat="1" applyFont="1" applyFill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3" fillId="2" borderId="1" xfId="0" applyNumberFormat="1" applyFont="1" applyFill="1" applyBorder="1" applyAlignment="1">
      <alignment horizontal="center" vertical="center" shrinkToFit="1"/>
    </xf>
    <xf numFmtId="176" fontId="2" fillId="3" borderId="1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39"/>
  <sheetViews>
    <sheetView tabSelected="1" workbookViewId="0">
      <selection activeCell="I7" sqref="I7:J9"/>
    </sheetView>
  </sheetViews>
  <sheetFormatPr defaultColWidth="9" defaultRowHeight="14.4"/>
  <cols>
    <col min="1" max="1" width="4.14814814814815" style="1" customWidth="1"/>
    <col min="2" max="2" width="17.3888888888889" style="1" customWidth="1"/>
    <col min="3" max="3" width="17.1296296296296" style="1" customWidth="1"/>
    <col min="4" max="4" width="16" style="1" customWidth="1"/>
    <col min="5" max="5" width="24.3333333333333" style="1" customWidth="1"/>
    <col min="6" max="7" width="14.2037037037037" style="1" customWidth="1"/>
    <col min="8" max="8" width="12.9444444444444" style="1" customWidth="1"/>
    <col min="9" max="9" width="17.7777777777778" style="2" customWidth="1"/>
    <col min="10" max="11" width="16.1111111111111" style="2" customWidth="1"/>
    <col min="12" max="12" width="21" style="2" customWidth="1"/>
    <col min="13" max="13" width="21.5555555555556" style="2" customWidth="1"/>
    <col min="14" max="15" width="9.66666666666667" style="2"/>
    <col min="16" max="16" width="10.7777777777778" style="2"/>
    <col min="17" max="17" width="9.66666666666667" style="2"/>
    <col min="18" max="16384" width="9" style="1"/>
  </cols>
  <sheetData>
    <row r="1" s="1" customFormat="1" ht="46" customHeight="1" spans="2:17">
      <c r="B1" s="4" t="s">
        <v>0</v>
      </c>
      <c r="C1" s="4"/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2"/>
      <c r="P1" s="2"/>
      <c r="Q1" s="2"/>
    </row>
    <row r="2" s="1" customFormat="1" ht="26" customHeight="1" spans="2:17">
      <c r="B2" s="5"/>
      <c r="C2" s="5"/>
      <c r="D2" s="5"/>
      <c r="E2" s="5"/>
      <c r="F2" s="5"/>
      <c r="G2" s="5"/>
      <c r="H2" s="5" t="s">
        <v>1</v>
      </c>
      <c r="I2" s="2"/>
      <c r="J2" s="2"/>
      <c r="K2" s="2"/>
      <c r="L2" s="2"/>
      <c r="M2" s="2"/>
      <c r="N2" s="2"/>
      <c r="O2" s="2"/>
      <c r="P2" s="2"/>
      <c r="Q2" s="2"/>
    </row>
    <row r="3" s="1" customFormat="1" ht="26" customHeight="1" spans="2:17">
      <c r="B3" s="6" t="s">
        <v>2</v>
      </c>
      <c r="C3" s="7" t="s">
        <v>3</v>
      </c>
      <c r="D3" s="8" t="s">
        <v>4</v>
      </c>
      <c r="E3" s="9" t="s">
        <v>5</v>
      </c>
      <c r="F3" s="8" t="s">
        <v>6</v>
      </c>
      <c r="G3" s="8" t="s">
        <v>7</v>
      </c>
      <c r="H3" s="7" t="s">
        <v>8</v>
      </c>
      <c r="I3" s="2"/>
      <c r="J3" s="2"/>
      <c r="K3" s="2"/>
      <c r="L3" s="2"/>
      <c r="M3" s="2"/>
      <c r="N3" s="2"/>
      <c r="O3" s="2"/>
      <c r="P3" s="2"/>
      <c r="Q3" s="2"/>
    </row>
    <row r="4" s="1" customFormat="1" ht="26" customHeight="1" spans="2:17">
      <c r="B4" s="6" t="s">
        <v>9</v>
      </c>
      <c r="C4" s="7" t="s">
        <v>10</v>
      </c>
      <c r="D4" s="10">
        <f>362275-25421.66</f>
        <v>336853.34</v>
      </c>
      <c r="E4" s="11">
        <v>0.03</v>
      </c>
      <c r="F4" s="12">
        <f t="shared" ref="F4:F7" si="0">ROUND(D4*E4,2)</f>
        <v>10105.6</v>
      </c>
      <c r="G4" s="12"/>
      <c r="H4" s="13"/>
      <c r="I4" s="14"/>
      <c r="J4" s="14"/>
      <c r="K4" s="14"/>
      <c r="L4" s="15" t="s">
        <v>11</v>
      </c>
      <c r="M4" s="16">
        <f>SUM(M5:M10)</f>
        <v>1008878.35022654</v>
      </c>
      <c r="N4" s="14"/>
      <c r="O4" s="14"/>
      <c r="P4" s="14"/>
      <c r="Q4" s="2"/>
    </row>
    <row r="5" s="1" customFormat="1" ht="26" customHeight="1" spans="2:17">
      <c r="B5" s="6" t="s">
        <v>12</v>
      </c>
      <c r="C5" s="7" t="s">
        <v>10</v>
      </c>
      <c r="D5" s="10">
        <f>F4</f>
        <v>10105.6</v>
      </c>
      <c r="E5" s="17">
        <f>7%*50%</f>
        <v>0.035</v>
      </c>
      <c r="F5" s="12">
        <f t="shared" si="0"/>
        <v>353.7</v>
      </c>
      <c r="G5" s="12"/>
      <c r="H5" s="18" t="s">
        <v>13</v>
      </c>
      <c r="I5" s="2"/>
      <c r="J5" s="2"/>
      <c r="K5" s="2"/>
      <c r="L5" s="19" t="s">
        <v>14</v>
      </c>
      <c r="M5" s="20">
        <v>348412.05</v>
      </c>
      <c r="N5" s="2"/>
      <c r="O5" s="2"/>
      <c r="P5" s="2"/>
      <c r="Q5" s="2"/>
    </row>
    <row r="6" s="1" customFormat="1" ht="26" customHeight="1" spans="2:17">
      <c r="B6" s="6" t="s">
        <v>15</v>
      </c>
      <c r="C6" s="7" t="s">
        <v>10</v>
      </c>
      <c r="D6" s="10">
        <f>F4</f>
        <v>10105.6</v>
      </c>
      <c r="E6" s="17">
        <f>3%*50%</f>
        <v>0.015</v>
      </c>
      <c r="F6" s="12">
        <f t="shared" si="0"/>
        <v>151.58</v>
      </c>
      <c r="G6" s="12"/>
      <c r="H6" s="18"/>
      <c r="I6" s="2"/>
      <c r="J6" s="2"/>
      <c r="K6" s="2"/>
      <c r="L6" s="21"/>
      <c r="M6" s="20">
        <v>16544.26</v>
      </c>
      <c r="N6" s="2"/>
      <c r="O6" s="2"/>
      <c r="P6" s="2"/>
      <c r="Q6" s="2"/>
    </row>
    <row r="7" s="1" customFormat="1" ht="26" customHeight="1" spans="2:17">
      <c r="B7" s="6" t="s">
        <v>16</v>
      </c>
      <c r="C7" s="7" t="s">
        <v>10</v>
      </c>
      <c r="D7" s="10">
        <f>F4</f>
        <v>10105.6</v>
      </c>
      <c r="E7" s="17">
        <f>2%*50%</f>
        <v>0.01</v>
      </c>
      <c r="F7" s="12">
        <f t="shared" si="0"/>
        <v>101.06</v>
      </c>
      <c r="G7" s="12"/>
      <c r="H7" s="18"/>
      <c r="I7" s="22" t="s">
        <v>17</v>
      </c>
      <c r="J7" s="22" t="s">
        <v>18</v>
      </c>
      <c r="K7" s="2"/>
      <c r="L7" s="19" t="s">
        <v>19</v>
      </c>
      <c r="M7" s="20">
        <v>348412.05</v>
      </c>
      <c r="N7" s="2"/>
      <c r="O7" s="2"/>
      <c r="P7" s="2"/>
      <c r="Q7" s="2"/>
    </row>
    <row r="8" s="1" customFormat="1" ht="26" customHeight="1" spans="2:17">
      <c r="B8" s="6" t="s">
        <v>20</v>
      </c>
      <c r="C8" s="7" t="s">
        <v>21</v>
      </c>
      <c r="D8" s="10">
        <f>16544.25*4</f>
        <v>66177</v>
      </c>
      <c r="E8" s="23">
        <f>0.12*50%</f>
        <v>0.06</v>
      </c>
      <c r="F8" s="12">
        <f t="shared" ref="F8:F11" si="1">D8*E8</f>
        <v>3970.62</v>
      </c>
      <c r="G8" s="12">
        <f t="shared" ref="G8:G11" si="2">F8</f>
        <v>3970.62</v>
      </c>
      <c r="H8" s="18"/>
      <c r="I8" s="24">
        <f>G8/4*2</f>
        <v>1985.31</v>
      </c>
      <c r="J8" s="24">
        <f>G8+I8</f>
        <v>5955.93</v>
      </c>
      <c r="K8" s="2"/>
      <c r="L8" s="21"/>
      <c r="M8" s="20">
        <v>16544.26</v>
      </c>
      <c r="N8" s="2"/>
      <c r="O8" s="2"/>
      <c r="P8" s="2"/>
      <c r="Q8" s="2"/>
    </row>
    <row r="9" s="1" customFormat="1" ht="26" customHeight="1" spans="2:17">
      <c r="B9" s="6" t="s">
        <v>22</v>
      </c>
      <c r="C9" s="7" t="s">
        <v>21</v>
      </c>
      <c r="D9" s="25">
        <f>3243529.372/1.03/12*4</f>
        <v>1049685.88090615</v>
      </c>
      <c r="E9" s="23">
        <f>0.12*50%</f>
        <v>0.06</v>
      </c>
      <c r="F9" s="12">
        <f t="shared" si="1"/>
        <v>62981.1528543689</v>
      </c>
      <c r="G9" s="12">
        <f t="shared" si="2"/>
        <v>62981.1528543689</v>
      </c>
      <c r="H9" s="18"/>
      <c r="I9" s="24">
        <f>20904.71*2</f>
        <v>41809.42</v>
      </c>
      <c r="J9" s="24">
        <f>G9+I9</f>
        <v>104790.572854369</v>
      </c>
      <c r="K9" s="2"/>
      <c r="L9" s="19" t="s">
        <v>23</v>
      </c>
      <c r="M9" s="26">
        <f>D9/4</f>
        <v>262421.470226537</v>
      </c>
      <c r="N9" s="2"/>
      <c r="O9" s="2"/>
      <c r="P9" s="2"/>
      <c r="Q9" s="2"/>
    </row>
    <row r="10" s="1" customFormat="1" ht="26" customHeight="1" spans="2:17">
      <c r="B10" s="6" t="s">
        <v>24</v>
      </c>
      <c r="C10" s="7" t="s">
        <v>25</v>
      </c>
      <c r="D10" s="10">
        <f>346469.25/70%</f>
        <v>494956.071428571</v>
      </c>
      <c r="E10" s="23">
        <f>0.7*0.012*0.5</f>
        <v>0.0042</v>
      </c>
      <c r="F10" s="12">
        <f t="shared" si="1"/>
        <v>2078.8155</v>
      </c>
      <c r="G10" s="12">
        <f t="shared" si="2"/>
        <v>2078.8155</v>
      </c>
      <c r="H10" s="18"/>
      <c r="I10" s="2"/>
      <c r="J10" s="2"/>
      <c r="K10" s="2"/>
      <c r="L10" s="21"/>
      <c r="M10" s="20">
        <v>16544.26</v>
      </c>
      <c r="N10" s="2"/>
      <c r="O10" s="2"/>
      <c r="P10" s="2"/>
      <c r="Q10" s="2"/>
    </row>
    <row r="11" s="1" customFormat="1" ht="26" customHeight="1" spans="2:17">
      <c r="B11" s="6" t="s">
        <v>26</v>
      </c>
      <c r="C11" s="7" t="s">
        <v>25</v>
      </c>
      <c r="D11" s="25"/>
      <c r="E11" s="23">
        <f>0.7*0.012*0.5*0.5</f>
        <v>0.0021</v>
      </c>
      <c r="F11" s="12">
        <f t="shared" si="1"/>
        <v>0</v>
      </c>
      <c r="G11" s="12">
        <f t="shared" si="2"/>
        <v>0</v>
      </c>
      <c r="H11" s="18"/>
      <c r="I11" s="2"/>
      <c r="J11" s="2"/>
      <c r="K11" s="2"/>
      <c r="L11" s="2" t="s">
        <v>27</v>
      </c>
      <c r="M11" s="2"/>
      <c r="N11" s="2"/>
      <c r="O11" s="2"/>
      <c r="P11" s="2"/>
      <c r="Q11" s="2"/>
    </row>
    <row r="12" s="1" customFormat="1" ht="26" customHeight="1" spans="2:17">
      <c r="B12" s="6" t="s">
        <v>28</v>
      </c>
      <c r="C12" s="7" t="s">
        <v>10</v>
      </c>
      <c r="D12" s="10">
        <f>D4*1.03</f>
        <v>346958.9402</v>
      </c>
      <c r="E12" s="27">
        <f>0.01*0.1</f>
        <v>0.001</v>
      </c>
      <c r="F12" s="12">
        <f>ROUND(E12*D12,2)</f>
        <v>346.96</v>
      </c>
      <c r="G12" s="12">
        <f>F12*50%</f>
        <v>173.48</v>
      </c>
      <c r="H12" s="18"/>
      <c r="I12" s="2"/>
      <c r="J12" s="14"/>
      <c r="K12" s="14"/>
      <c r="L12" s="2"/>
      <c r="M12" s="2"/>
      <c r="N12" s="2"/>
      <c r="O12" s="2"/>
      <c r="P12" s="2"/>
      <c r="Q12" s="2"/>
    </row>
    <row r="13" s="1" customFormat="1" ht="26" customHeight="1" spans="2:17">
      <c r="B13" s="6" t="s">
        <v>29</v>
      </c>
      <c r="C13" s="7" t="s">
        <v>10</v>
      </c>
      <c r="D13" s="25"/>
      <c r="E13" s="11">
        <v>0.25</v>
      </c>
      <c r="F13" s="12">
        <v>0</v>
      </c>
      <c r="G13" s="12">
        <f>F13</f>
        <v>0</v>
      </c>
      <c r="H13" s="18"/>
      <c r="I13" s="2"/>
      <c r="J13" s="2"/>
      <c r="K13" s="2"/>
      <c r="L13" s="2"/>
      <c r="M13" s="2"/>
      <c r="N13" s="2"/>
      <c r="O13" s="2"/>
      <c r="P13" s="2"/>
      <c r="Q13" s="2"/>
    </row>
    <row r="14" s="1" customFormat="1" ht="26" customHeight="1" spans="2:17">
      <c r="B14" s="6" t="s">
        <v>30</v>
      </c>
      <c r="C14" s="7" t="s">
        <v>10</v>
      </c>
      <c r="D14" s="25"/>
      <c r="E14" s="11">
        <v>0.02</v>
      </c>
      <c r="F14" s="12">
        <f>D14*E14</f>
        <v>0</v>
      </c>
      <c r="G14" s="12">
        <f>F14</f>
        <v>0</v>
      </c>
      <c r="H14" s="18"/>
      <c r="I14" s="2"/>
      <c r="J14" s="2"/>
      <c r="K14" s="2"/>
      <c r="L14" s="2"/>
      <c r="M14" s="2"/>
      <c r="N14" s="2"/>
      <c r="O14" s="2"/>
      <c r="P14" s="2"/>
      <c r="Q14" s="2"/>
    </row>
    <row r="15" s="1" customFormat="1" ht="26" customHeight="1" spans="2:17">
      <c r="B15" s="6" t="s">
        <v>31</v>
      </c>
      <c r="C15" s="7" t="s">
        <v>25</v>
      </c>
      <c r="D15" s="25"/>
      <c r="E15" s="11"/>
      <c r="F15" s="12">
        <f>G34+G38</f>
        <v>30859.16</v>
      </c>
      <c r="G15" s="12"/>
      <c r="H15" s="18"/>
      <c r="I15" s="2"/>
      <c r="J15" s="2"/>
      <c r="K15" s="2"/>
      <c r="L15" s="28"/>
      <c r="M15" s="2"/>
      <c r="N15" s="2"/>
      <c r="O15" s="2"/>
      <c r="P15" s="2"/>
      <c r="Q15" s="2"/>
    </row>
    <row r="16" s="1" customFormat="1" ht="26" customHeight="1" spans="2:17">
      <c r="B16" s="6" t="s">
        <v>32</v>
      </c>
      <c r="C16" s="7"/>
      <c r="D16" s="8"/>
      <c r="E16" s="9"/>
      <c r="F16" s="12">
        <f>SUM(F4:F14)</f>
        <v>80089.4883543689</v>
      </c>
      <c r="G16" s="12">
        <f>SUM(G4:G15)-0.01</f>
        <v>69204.0583543689</v>
      </c>
      <c r="H16" s="6"/>
      <c r="I16" s="2"/>
      <c r="J16" s="2"/>
      <c r="K16" s="2"/>
      <c r="L16" s="2"/>
      <c r="M16" s="2"/>
      <c r="N16" s="2"/>
      <c r="O16" s="2"/>
      <c r="P16" s="2"/>
      <c r="Q16" s="2"/>
    </row>
    <row r="17" ht="26" customHeight="1"/>
    <row r="18" s="2" customFormat="1" ht="26" customHeight="1" spans="2:17">
      <c r="B18" s="2" t="s">
        <v>33</v>
      </c>
      <c r="C18" s="29"/>
      <c r="D18" s="14"/>
      <c r="G18" s="14"/>
      <c r="L18" s="29"/>
    </row>
    <row r="19" s="2" customFormat="1" ht="26" customHeight="1" spans="2:17">
      <c r="B19" s="2" t="s">
        <v>34</v>
      </c>
      <c r="C19" s="29">
        <v>0</v>
      </c>
      <c r="D19" s="14"/>
      <c r="L19" s="29"/>
    </row>
    <row r="20" s="2" customFormat="1" ht="26" customHeight="1" spans="2:17">
      <c r="B20" s="2" t="s">
        <v>35</v>
      </c>
      <c r="C20" s="30"/>
      <c r="D20" s="14"/>
      <c r="L20" s="29"/>
    </row>
    <row r="21" s="2" customFormat="1" ht="26" customHeight="1" spans="2:17">
      <c r="B21" s="2" t="s">
        <v>36</v>
      </c>
      <c r="C21" s="31"/>
      <c r="D21" s="14"/>
      <c r="F21" s="14"/>
      <c r="L21" s="29"/>
    </row>
    <row r="22" s="2" customFormat="1" ht="26" customHeight="1" spans="2:17">
      <c r="B22" s="2" t="s">
        <v>37</v>
      </c>
      <c r="C22" s="30"/>
      <c r="D22" s="14"/>
      <c r="L22" s="29"/>
    </row>
    <row r="23" s="2" customFormat="1" ht="26" customHeight="1" spans="2:17">
      <c r="B23" s="2" t="s">
        <v>38</v>
      </c>
      <c r="C23" s="29">
        <v>0</v>
      </c>
      <c r="D23" s="14"/>
      <c r="F23" s="14"/>
      <c r="L23" s="29"/>
    </row>
    <row r="24" s="2" customFormat="1" ht="26" customHeight="1" spans="2:17">
      <c r="B24" s="2" t="s">
        <v>39</v>
      </c>
      <c r="C24" s="29">
        <f>C18+C19-C20-C21-C22-C23</f>
        <v>0</v>
      </c>
      <c r="D24" s="29"/>
    </row>
    <row r="25" s="2" customFormat="1" ht="26" customHeight="1" spans="2:17">
      <c r="B25" s="2" t="s">
        <v>40</v>
      </c>
      <c r="C25" s="29"/>
    </row>
    <row r="26" s="2" customFormat="1" ht="26" customHeight="1" spans="2:17">
      <c r="B26" s="2" t="s">
        <v>41</v>
      </c>
      <c r="C26" s="29">
        <f>C24*25%</f>
        <v>0</v>
      </c>
    </row>
    <row r="27" s="2" customFormat="1" ht="26" customHeight="1" spans="2:17">
      <c r="B27" s="2" t="s">
        <v>42</v>
      </c>
      <c r="C27" s="29">
        <f>C24-C25-C26</f>
        <v>0</v>
      </c>
    </row>
    <row r="28" s="2" customFormat="1" ht="26" customHeight="1" spans="2:17">
      <c r="B28" s="2" t="s">
        <v>43</v>
      </c>
      <c r="C28" s="29">
        <f>C27*25%</f>
        <v>0</v>
      </c>
    </row>
    <row r="29" s="2" customFormat="1" ht="26" customHeight="1"/>
    <row r="30" s="2" customFormat="1" ht="26" customHeight="1"/>
    <row r="31" s="1" customFormat="1" ht="26" customHeight="1" spans="2:17">
      <c r="B31" s="32" t="s">
        <v>44</v>
      </c>
      <c r="C31" s="32"/>
      <c r="D31" s="32"/>
      <c r="E31" s="32"/>
      <c r="F31" s="32"/>
      <c r="G31" s="32"/>
      <c r="H31" s="33"/>
      <c r="I31" s="2"/>
      <c r="J31" s="2"/>
      <c r="K31" s="2"/>
      <c r="L31" s="2"/>
      <c r="M31" s="2"/>
      <c r="N31" s="2"/>
      <c r="O31" s="2"/>
      <c r="P31" s="2"/>
      <c r="Q31" s="2"/>
    </row>
    <row r="32" s="3" customFormat="1" ht="26" customHeight="1" spans="2:17">
      <c r="B32" s="34" t="s">
        <v>45</v>
      </c>
      <c r="C32" s="35" t="s">
        <v>46</v>
      </c>
      <c r="D32" s="34" t="s">
        <v>47</v>
      </c>
      <c r="E32" s="34" t="s">
        <v>48</v>
      </c>
      <c r="F32" s="36" t="s">
        <v>4</v>
      </c>
      <c r="G32" s="35" t="s">
        <v>49</v>
      </c>
      <c r="H32" s="37" t="s">
        <v>50</v>
      </c>
    </row>
    <row r="33" s="3" customFormat="1" ht="26" customHeight="1" spans="2:8">
      <c r="B33" s="38"/>
      <c r="C33" s="39">
        <f>18.63*2</f>
        <v>37.26</v>
      </c>
      <c r="D33" s="39" t="s">
        <v>51</v>
      </c>
      <c r="E33" s="38" t="s">
        <v>52</v>
      </c>
      <c r="F33" s="39">
        <f>C33/2</f>
        <v>18.63</v>
      </c>
      <c r="G33" s="39">
        <f>F33*11+0.07</f>
        <v>205</v>
      </c>
      <c r="H33" s="39">
        <f>G33*50%</f>
        <v>102.5</v>
      </c>
    </row>
    <row r="34" s="3" customFormat="1" ht="26" customHeight="1" spans="2:8">
      <c r="B34" s="38" t="s">
        <v>53</v>
      </c>
      <c r="C34" s="39">
        <f>SUM(C33:C33)</f>
        <v>37.26</v>
      </c>
      <c r="D34" s="38"/>
      <c r="E34" s="38"/>
      <c r="F34" s="39">
        <f>SUM(F33:F33)</f>
        <v>18.63</v>
      </c>
      <c r="G34" s="39">
        <f>SUM(G33:G33)</f>
        <v>205</v>
      </c>
      <c r="H34" s="39">
        <f>SUM(H33:H33)</f>
        <v>102.5</v>
      </c>
    </row>
    <row r="35" s="3" customFormat="1" ht="26" customHeight="1" spans="2:8">
      <c r="B35" s="40"/>
      <c r="C35" s="40"/>
      <c r="D35" s="40"/>
      <c r="E35" s="40"/>
      <c r="F35" s="41"/>
      <c r="G35" s="40"/>
      <c r="H35" s="41"/>
    </row>
    <row r="36" s="3" customFormat="1" ht="26" customHeight="1" spans="2:8">
      <c r="B36" s="42" t="s">
        <v>54</v>
      </c>
      <c r="C36" s="42"/>
      <c r="D36" s="42"/>
      <c r="E36" s="42"/>
      <c r="F36" s="42"/>
      <c r="G36" s="42"/>
      <c r="H36" s="43"/>
    </row>
    <row r="37" s="3" customFormat="1" ht="26" customHeight="1" spans="2:8">
      <c r="B37" s="38" t="s">
        <v>45</v>
      </c>
      <c r="C37" s="39" t="s">
        <v>46</v>
      </c>
      <c r="D37" s="38" t="s">
        <v>47</v>
      </c>
      <c r="E37" s="38" t="s">
        <v>48</v>
      </c>
      <c r="F37" s="44" t="s">
        <v>4</v>
      </c>
      <c r="G37" s="39" t="s">
        <v>49</v>
      </c>
      <c r="H37" s="45" t="s">
        <v>50</v>
      </c>
    </row>
    <row r="38" s="3" customFormat="1" ht="26" customHeight="1" spans="2:8">
      <c r="B38" s="38" t="s">
        <v>55</v>
      </c>
      <c r="C38" s="39">
        <f>3831.77*2</f>
        <v>7663.54</v>
      </c>
      <c r="D38" s="38" t="s">
        <v>56</v>
      </c>
      <c r="E38" s="38" t="s">
        <v>52</v>
      </c>
      <c r="F38" s="46">
        <f>C38/2</f>
        <v>3831.77</v>
      </c>
      <c r="G38" s="39">
        <f>F38*8</f>
        <v>30654.16</v>
      </c>
      <c r="H38" s="47">
        <f>G38*50%</f>
        <v>15327.08</v>
      </c>
    </row>
    <row r="39" ht="26" customHeight="1"/>
  </sheetData>
  <mergeCells count="7">
    <mergeCell ref="B1:H1"/>
    <mergeCell ref="B31:H31"/>
    <mergeCell ref="B36:H36"/>
    <mergeCell ref="H5:H14"/>
    <mergeCell ref="L5:L6"/>
    <mergeCell ref="L7:L8"/>
    <mergeCell ref="L9:L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2026-04-08T04:48:00Z</dcterms:created>
  <dcterms:modified xsi:type="dcterms:W3CDTF">2026-04-08T10:50:38Z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2F4D6C2BE8F04D6391EC20A3195A5F6F_11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