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055"/>
  </bookViews>
  <sheets>
    <sheet name="2026.3" sheetId="16" r:id="rId1"/>
  </sheets>
  <externalReferences>
    <externalReference r:id="rId2"/>
  </externalReferences>
  <definedNames>
    <definedName name="_xlnm.Print_Area" localSheetId="0">'2026.3'!$A$2:$J$20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二哈哈</author>
  </authors>
  <commentList>
    <comment ref="C39" authorId="0">
      <text>
        <r>
          <rPr>
            <b/>
            <sz val="9"/>
            <rFont val="宋体"/>
            <charset val="134"/>
          </rPr>
          <t>二哈哈:</t>
        </r>
        <r>
          <rPr>
            <sz val="9"/>
            <rFont val="宋体"/>
            <charset val="134"/>
          </rPr>
          <t xml:space="preserve">
2025年申报9月税金时，发现从价面积实际为所有未售房源面积，经与欧总沟通，做终止处理。2025.10.14</t>
        </r>
      </text>
    </comment>
  </commentList>
</comments>
</file>

<file path=xl/sharedStrings.xml><?xml version="1.0" encoding="utf-8"?>
<sst xmlns="http://schemas.openxmlformats.org/spreadsheetml/2006/main" count="172" uniqueCount="104">
  <si>
    <t>拜城分公司税金计算表</t>
  </si>
  <si>
    <t>项目名称：</t>
  </si>
  <si>
    <t>期间</t>
  </si>
  <si>
    <t>日期</t>
  </si>
  <si>
    <t>2026.4.17</t>
  </si>
  <si>
    <t>预收款合计金额</t>
  </si>
  <si>
    <t>普通住宅</t>
  </si>
  <si>
    <t>非普通住宅</t>
  </si>
  <si>
    <t>商业/写字间</t>
  </si>
  <si>
    <t>租赁收入（含税）</t>
  </si>
  <si>
    <t>合计</t>
  </si>
  <si>
    <t>本期销售合同总价</t>
  </si>
  <si>
    <t>新售预收房款金额</t>
  </si>
  <si>
    <t>税目</t>
  </si>
  <si>
    <t>税率</t>
  </si>
  <si>
    <t>可抵扣预缴增值税</t>
  </si>
  <si>
    <t>增值税</t>
  </si>
  <si>
    <t>城建税</t>
  </si>
  <si>
    <t>教育费附加</t>
  </si>
  <si>
    <t>地方教育费附加</t>
  </si>
  <si>
    <t>土地增值税</t>
  </si>
  <si>
    <t>印花税-财产转移书据</t>
  </si>
  <si>
    <t>印花税-租赁</t>
  </si>
  <si>
    <t>房产税（从租）</t>
  </si>
  <si>
    <t>房产税（从价）</t>
  </si>
  <si>
    <t>房产税</t>
  </si>
  <si>
    <t>类型</t>
  </si>
  <si>
    <t>剩余未售建筑面积</t>
  </si>
  <si>
    <t>单价</t>
  </si>
  <si>
    <t>房产原值</t>
  </si>
  <si>
    <t>计税依据</t>
  </si>
  <si>
    <t>税金</t>
  </si>
  <si>
    <t>应交</t>
  </si>
  <si>
    <t>备注</t>
  </si>
  <si>
    <t>从租</t>
  </si>
  <si>
    <t>拜城世纪佳园</t>
  </si>
  <si>
    <t>3月</t>
  </si>
  <si>
    <t>土地使用税明细</t>
  </si>
  <si>
    <t>序号</t>
  </si>
  <si>
    <t>地块</t>
  </si>
  <si>
    <t>土地证面积</t>
  </si>
  <si>
    <t>建设用地批准书面积</t>
  </si>
  <si>
    <t>容积率</t>
  </si>
  <si>
    <t>土地占用面积</t>
  </si>
  <si>
    <t>土地等级</t>
  </si>
  <si>
    <t>单价(元)</t>
  </si>
  <si>
    <t>金额(元)</t>
  </si>
  <si>
    <t>4月份应交</t>
  </si>
  <si>
    <t>三级</t>
  </si>
  <si>
    <t>1-6月</t>
  </si>
  <si>
    <t>占用面积</t>
  </si>
  <si>
    <t>应交税金</t>
  </si>
  <si>
    <t>实缴</t>
  </si>
  <si>
    <t>拜城世纪佳园7-104、110</t>
  </si>
  <si>
    <t>面积（平方米）</t>
  </si>
  <si>
    <t>原值</t>
  </si>
  <si>
    <t>计税比率</t>
  </si>
  <si>
    <t>金额</t>
  </si>
  <si>
    <t>7-12月</t>
  </si>
  <si>
    <t>7-12月从价</t>
  </si>
  <si>
    <t>合计：</t>
  </si>
  <si>
    <t>主营业务收入</t>
  </si>
  <si>
    <t>其他业务收入</t>
  </si>
  <si>
    <t>主营业务成本</t>
  </si>
  <si>
    <t>税金及附加</t>
  </si>
  <si>
    <t>管理费用</t>
  </si>
  <si>
    <t>财务费用</t>
  </si>
  <si>
    <t>利润总额</t>
  </si>
  <si>
    <t>所得税税率</t>
  </si>
  <si>
    <t>预缴企业所得税</t>
  </si>
  <si>
    <t>本期应交企业所得税</t>
  </si>
  <si>
    <t>阿克苏交纳土地使用税明细</t>
  </si>
  <si>
    <t>多浪小镇</t>
  </si>
  <si>
    <t>7月</t>
  </si>
  <si>
    <t>新疆通力房地产开发有限公司应交税费明细表</t>
  </si>
  <si>
    <t>2025.4.16</t>
  </si>
  <si>
    <t>税目名称</t>
  </si>
  <si>
    <t>应缴税金</t>
  </si>
  <si>
    <t>2025.1-3月</t>
  </si>
  <si>
    <t>增值税小规模纳税人
“六税两费”减征政
策,减按50%征收</t>
  </si>
  <si>
    <t>房产税（养征从租）</t>
  </si>
  <si>
    <t>房产税（通达从租）</t>
  </si>
  <si>
    <t>房产税（养征从价）</t>
  </si>
  <si>
    <t>2025.1-6月</t>
  </si>
  <si>
    <t>房产税（通达从价）</t>
  </si>
  <si>
    <t>印花税（租赁）</t>
  </si>
  <si>
    <t>企业所得税</t>
  </si>
  <si>
    <t>工会经费</t>
  </si>
  <si>
    <t>城镇土地使用税</t>
  </si>
  <si>
    <t xml:space="preserve">合计 </t>
  </si>
  <si>
    <t>剩余面积</t>
  </si>
  <si>
    <t>7-104</t>
  </si>
  <si>
    <t>未售</t>
  </si>
  <si>
    <t>2025.10.1-2028.9.30</t>
  </si>
  <si>
    <t>7-105</t>
  </si>
  <si>
    <t>7-110</t>
  </si>
  <si>
    <t>7-201</t>
  </si>
  <si>
    <t>7-202</t>
  </si>
  <si>
    <t>7-203</t>
  </si>
  <si>
    <t>税务系统剩余面积</t>
  </si>
  <si>
    <t>差额</t>
  </si>
  <si>
    <t>7-203-1</t>
  </si>
  <si>
    <t>7-203分割为俩</t>
  </si>
  <si>
    <t>7-203-2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</si>
</sst>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8" formatCode="&quot;￥&quot;#,##0.00;[Red]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%"/>
  </numFmts>
  <fonts count="35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0"/>
      <name val="宋体"/>
      <charset val="134"/>
    </font>
    <font>
      <sz val="10"/>
      <color indexed="8"/>
      <name val="宋体"/>
      <charset val="134"/>
      <scheme val="minor"/>
    </font>
    <font>
      <sz val="10"/>
      <color rgb="FF000000"/>
      <name val="Calibri"/>
      <charset val="0"/>
    </font>
    <font>
      <sz val="10"/>
      <color rgb="FF000000"/>
      <name val="宋体"/>
      <charset val="134"/>
    </font>
    <font>
      <b/>
      <sz val="10"/>
      <color rgb="FF000000"/>
      <name val="宋体"/>
      <charset val="0"/>
    </font>
    <font>
      <sz val="10"/>
      <color rgb="FF000000"/>
      <name val="宋体"/>
      <charset val="0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333333"/>
      <name val="宋体"/>
      <charset val="134"/>
    </font>
    <font>
      <sz val="10"/>
      <name val="宋体"/>
      <charset val="1"/>
    </font>
    <font>
      <b/>
      <sz val="10"/>
      <color indexed="8"/>
      <name val="宋体"/>
      <charset val="1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"/>
    </font>
    <font>
      <b/>
      <sz val="9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1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9" applyNumberFormat="0" applyAlignment="0" applyProtection="0">
      <alignment vertical="center"/>
    </xf>
    <xf numFmtId="0" fontId="22" fillId="5" borderId="20" applyNumberFormat="0" applyAlignment="0" applyProtection="0">
      <alignment vertical="center"/>
    </xf>
    <xf numFmtId="0" fontId="23" fillId="5" borderId="19" applyNumberFormat="0" applyAlignment="0" applyProtection="0">
      <alignment vertical="center"/>
    </xf>
    <xf numFmtId="0" fontId="24" fillId="6" borderId="21" applyNumberFormat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26" fillId="0" borderId="23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2" fillId="0" borderId="0">
      <alignment vertical="top"/>
      <protection locked="0"/>
    </xf>
  </cellStyleXfs>
  <cellXfs count="9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176" fontId="1" fillId="0" borderId="3" xfId="0" applyNumberFormat="1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vertical="center"/>
    </xf>
    <xf numFmtId="8" fontId="1" fillId="0" borderId="0" xfId="0" applyNumberFormat="1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9" fontId="1" fillId="0" borderId="3" xfId="0" applyNumberFormat="1" applyFont="1" applyFill="1" applyBorder="1" applyAlignment="1">
      <alignment horizontal="center" vertical="center"/>
    </xf>
    <xf numFmtId="4" fontId="1" fillId="0" borderId="0" xfId="0" applyNumberFormat="1" applyFont="1" applyFill="1" applyBorder="1" applyAlignment="1">
      <alignment vertical="center"/>
    </xf>
    <xf numFmtId="0" fontId="3" fillId="0" borderId="3" xfId="0" applyFont="1" applyFill="1" applyBorder="1" applyAlignment="1">
      <alignment horizontal="left" vertical="center"/>
    </xf>
    <xf numFmtId="9" fontId="3" fillId="0" borderId="3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vertical="center"/>
    </xf>
    <xf numFmtId="9" fontId="3" fillId="0" borderId="3" xfId="3" applyFont="1" applyFill="1" applyBorder="1" applyAlignment="1">
      <alignment horizontal="center" vertical="center"/>
    </xf>
    <xf numFmtId="10" fontId="3" fillId="0" borderId="3" xfId="3" applyNumberFormat="1" applyFont="1" applyFill="1" applyBorder="1" applyAlignment="1">
      <alignment horizontal="center" vertical="center"/>
    </xf>
    <xf numFmtId="177" fontId="3" fillId="0" borderId="3" xfId="3" applyNumberFormat="1" applyFont="1" applyFill="1" applyBorder="1" applyAlignment="1">
      <alignment horizontal="center" vertical="center"/>
    </xf>
    <xf numFmtId="176" fontId="3" fillId="0" borderId="3" xfId="3" applyNumberFormat="1" applyFont="1" applyBorder="1">
      <alignment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176" fontId="3" fillId="0" borderId="10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176" fontId="3" fillId="0" borderId="8" xfId="0" applyNumberFormat="1" applyFont="1" applyFill="1" applyBorder="1" applyAlignment="1">
      <alignment horizontal="center" vertical="center" wrapText="1"/>
    </xf>
    <xf numFmtId="176" fontId="3" fillId="0" borderId="11" xfId="0" applyNumberFormat="1" applyFont="1" applyFill="1" applyBorder="1" applyAlignment="1">
      <alignment horizontal="center" vertical="center" wrapText="1"/>
    </xf>
    <xf numFmtId="176" fontId="3" fillId="0" borderId="9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center"/>
    </xf>
    <xf numFmtId="176" fontId="5" fillId="0" borderId="0" xfId="0" applyNumberFormat="1" applyFont="1" applyFill="1" applyBorder="1" applyAlignment="1">
      <alignment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/>
    </xf>
    <xf numFmtId="176" fontId="1" fillId="0" borderId="3" xfId="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7" fillId="0" borderId="3" xfId="0" applyFont="1" applyFill="1" applyBorder="1" applyAlignment="1">
      <alignment horizontal="right" vertical="center"/>
    </xf>
    <xf numFmtId="43" fontId="5" fillId="0" borderId="3" xfId="3" applyNumberFormat="1" applyFont="1" applyFill="1" applyBorder="1" applyAlignment="1">
      <alignment vertical="center"/>
    </xf>
    <xf numFmtId="10" fontId="1" fillId="0" borderId="3" xfId="0" applyNumberFormat="1" applyFont="1" applyFill="1" applyBorder="1" applyAlignment="1">
      <alignment horizontal="center" vertical="center"/>
    </xf>
    <xf numFmtId="43" fontId="1" fillId="0" borderId="3" xfId="0" applyNumberFormat="1" applyFont="1" applyFill="1" applyBorder="1" applyAlignment="1">
      <alignment vertical="center"/>
    </xf>
    <xf numFmtId="176" fontId="9" fillId="0" borderId="3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8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vertical="center"/>
    </xf>
    <xf numFmtId="176" fontId="9" fillId="0" borderId="3" xfId="0" applyNumberFormat="1" applyFont="1" applyFill="1" applyBorder="1" applyAlignment="1">
      <alignment vertical="center"/>
    </xf>
    <xf numFmtId="43" fontId="9" fillId="0" borderId="3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43" fontId="9" fillId="0" borderId="0" xfId="0" applyNumberFormat="1" applyFont="1" applyFill="1" applyAlignment="1">
      <alignment vertical="center"/>
    </xf>
    <xf numFmtId="0" fontId="3" fillId="0" borderId="3" xfId="0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176" fontId="3" fillId="2" borderId="3" xfId="0" applyNumberFormat="1" applyFont="1" applyFill="1" applyBorder="1" applyAlignment="1">
      <alignment vertical="center"/>
    </xf>
    <xf numFmtId="43" fontId="4" fillId="0" borderId="0" xfId="0" applyNumberFormat="1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right" vertical="center"/>
    </xf>
    <xf numFmtId="4" fontId="5" fillId="0" borderId="3" xfId="0" applyNumberFormat="1" applyFont="1" applyFill="1" applyBorder="1" applyAlignment="1">
      <alignment horizontal="right" vertical="center"/>
    </xf>
    <xf numFmtId="176" fontId="5" fillId="0" borderId="3" xfId="0" applyNumberFormat="1" applyFont="1" applyFill="1" applyBorder="1" applyAlignment="1">
      <alignment horizontal="right" vertical="center"/>
    </xf>
    <xf numFmtId="0" fontId="11" fillId="0" borderId="15" xfId="49" applyFont="1" applyFill="1" applyBorder="1" applyAlignment="1" applyProtection="1">
      <protection locked="0"/>
    </xf>
    <xf numFmtId="9" fontId="5" fillId="0" borderId="3" xfId="3" applyFont="1" applyFill="1" applyBorder="1" applyAlignment="1">
      <alignment horizontal="right" vertical="center"/>
    </xf>
    <xf numFmtId="9" fontId="5" fillId="0" borderId="3" xfId="3" applyFont="1" applyFill="1" applyBorder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0" fontId="12" fillId="0" borderId="3" xfId="0" applyFont="1" applyFill="1" applyBorder="1" applyAlignment="1">
      <alignment vertical="center"/>
    </xf>
    <xf numFmtId="0" fontId="12" fillId="0" borderId="3" xfId="0" applyFont="1" applyFill="1" applyBorder="1" applyAlignment="1">
      <alignment horizontal="center" vertical="center"/>
    </xf>
    <xf numFmtId="176" fontId="12" fillId="0" borderId="3" xfId="0" applyNumberFormat="1" applyFont="1" applyFill="1" applyBorder="1" applyAlignment="1">
      <alignment horizontal="center" vertical="center"/>
    </xf>
    <xf numFmtId="9" fontId="12" fillId="0" borderId="3" xfId="3" applyFont="1" applyBorder="1" applyAlignment="1">
      <alignment horizontal="center" vertical="center"/>
    </xf>
    <xf numFmtId="43" fontId="8" fillId="0" borderId="3" xfId="0" applyNumberFormat="1" applyFont="1" applyFill="1" applyBorder="1" applyAlignment="1">
      <alignment horizontal="center" vertical="center"/>
    </xf>
    <xf numFmtId="9" fontId="12" fillId="0" borderId="3" xfId="3" applyNumberFormat="1" applyFont="1" applyBorder="1" applyAlignment="1">
      <alignment horizontal="center" vertical="center"/>
    </xf>
    <xf numFmtId="176" fontId="12" fillId="0" borderId="3" xfId="0" applyNumberFormat="1" applyFont="1" applyFill="1" applyBorder="1" applyAlignment="1">
      <alignment vertical="center"/>
    </xf>
    <xf numFmtId="0" fontId="12" fillId="0" borderId="3" xfId="0" applyFont="1" applyFill="1" applyBorder="1" applyAlignment="1">
      <alignment vertical="center" wrapText="1"/>
    </xf>
    <xf numFmtId="177" fontId="12" fillId="0" borderId="3" xfId="3" applyNumberFormat="1" applyFont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0" fontId="12" fillId="0" borderId="3" xfId="3" applyNumberFormat="1" applyFont="1" applyFill="1" applyBorder="1" applyAlignment="1" applyProtection="1">
      <alignment horizontal="center" vertical="center"/>
    </xf>
    <xf numFmtId="43" fontId="12" fillId="0" borderId="3" xfId="0" applyNumberFormat="1" applyFont="1" applyFill="1" applyBorder="1" applyAlignment="1">
      <alignment horizontal="center" vertical="center"/>
    </xf>
    <xf numFmtId="10" fontId="12" fillId="0" borderId="3" xfId="3" applyNumberFormat="1" applyFont="1" applyBorder="1" applyAlignment="1">
      <alignment horizontal="center" vertical="center"/>
    </xf>
    <xf numFmtId="0" fontId="1" fillId="2" borderId="0" xfId="0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2022.3.17\&#24464;&#25991;&#24428;&#36164;&#26009;\9&#12289;&#26032;&#30086;&#36890;&#21147;&#25151;\&#36890;&#21147;&#25151;&#20135;\&#31246;&#37329;\&#31246;&#37329;&#35745;&#31639;&#34920;(2025&#65289;%20-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税金汇总"/>
      <sheetName val="房产税&amp;土地使用税"/>
      <sheetName val="房产税"/>
      <sheetName val="二季度税金"/>
      <sheetName val="3季度税金"/>
      <sheetName val="房产税（从租）计算表"/>
      <sheetName val="4季度税金"/>
      <sheetName val="2025.1季度税金 "/>
      <sheetName val="房产税（从租）计算表 2025"/>
      <sheetName val="2025.2季度税金"/>
      <sheetName val="2025.3季度税金 "/>
      <sheetName val="房产税（从租）计算表 2025 .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73">
          <cell r="G73" t="str">
            <v>不含税收入</v>
          </cell>
        </row>
      </sheetData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XFB99"/>
  <sheetViews>
    <sheetView tabSelected="1" topLeftCell="A7" workbookViewId="0">
      <selection activeCell="E39" sqref="E39"/>
    </sheetView>
  </sheetViews>
  <sheetFormatPr defaultColWidth="9" defaultRowHeight="14" customHeight="1"/>
  <cols>
    <col min="1" max="1" width="4.25" style="1" customWidth="1"/>
    <col min="2" max="2" width="20.3796296296296" style="1" customWidth="1"/>
    <col min="3" max="3" width="21.1111111111111" style="1" customWidth="1"/>
    <col min="4" max="4" width="15.7777777777778" style="1" customWidth="1"/>
    <col min="5" max="5" width="13.8888888888889" style="1" customWidth="1"/>
    <col min="6" max="7" width="18.25" style="1" customWidth="1"/>
    <col min="8" max="8" width="16.7777777777778" style="1" customWidth="1"/>
    <col min="9" max="9" width="18.25" style="1" customWidth="1"/>
    <col min="10" max="10" width="19.8888888888889" style="1" customWidth="1"/>
    <col min="11" max="11" width="20.7777777777778" style="1" customWidth="1"/>
    <col min="12" max="12" width="13.75" style="1" customWidth="1"/>
    <col min="13" max="13" width="11.5" style="1" customWidth="1"/>
    <col min="14" max="16384" width="9" style="1"/>
  </cols>
  <sheetData>
    <row r="2" s="1" customFormat="1" customHeight="1" spans="2:13">
      <c r="B2" s="4" t="s">
        <v>0</v>
      </c>
      <c r="C2" s="4"/>
      <c r="D2" s="4"/>
      <c r="E2" s="4"/>
      <c r="F2" s="4"/>
      <c r="G2" s="4"/>
      <c r="H2" s="4"/>
      <c r="I2" s="4"/>
      <c r="J2" s="4"/>
    </row>
    <row r="3" s="1" customFormat="1" customHeight="1" spans="2:13">
      <c r="B3" s="5" t="s">
        <v>1</v>
      </c>
      <c r="D3" s="5" t="s">
        <v>2</v>
      </c>
      <c r="E3" s="6">
        <v>2026.3</v>
      </c>
      <c r="F3" s="6"/>
      <c r="G3" s="6"/>
      <c r="I3" s="5" t="s">
        <v>3</v>
      </c>
      <c r="J3" s="1" t="s">
        <v>4</v>
      </c>
    </row>
    <row r="4" s="1" customFormat="1" customHeight="1" spans="2:13">
      <c r="B4" s="7" t="s">
        <v>5</v>
      </c>
      <c r="C4" s="8"/>
      <c r="D4" s="9" t="s">
        <v>6</v>
      </c>
      <c r="E4" s="9" t="s">
        <v>7</v>
      </c>
      <c r="F4" s="9" t="s">
        <v>6</v>
      </c>
      <c r="G4" s="9"/>
      <c r="H4" s="10" t="s">
        <v>8</v>
      </c>
      <c r="I4" s="10" t="s">
        <v>9</v>
      </c>
      <c r="J4" s="10" t="s">
        <v>10</v>
      </c>
    </row>
    <row r="5" s="1" customFormat="1" customHeight="1" spans="2:13">
      <c r="B5" s="11"/>
      <c r="C5" s="12"/>
      <c r="D5" s="9"/>
      <c r="E5" s="9"/>
      <c r="F5" s="9" t="s">
        <v>11</v>
      </c>
      <c r="G5" s="9" t="s">
        <v>12</v>
      </c>
      <c r="H5" s="13"/>
      <c r="I5" s="13"/>
      <c r="J5" s="13"/>
    </row>
    <row r="6" s="1" customFormat="1" customHeight="1" spans="2:13">
      <c r="B6" s="14"/>
      <c r="C6" s="15"/>
      <c r="D6" s="16"/>
      <c r="E6" s="16">
        <v>0</v>
      </c>
      <c r="F6" s="16"/>
      <c r="G6" s="16">
        <v>0</v>
      </c>
      <c r="H6" s="16"/>
      <c r="I6" s="16"/>
      <c r="J6" s="16">
        <f>D6+E6+H6+I6</f>
        <v>0</v>
      </c>
      <c r="K6" s="17"/>
      <c r="L6" s="18"/>
    </row>
    <row r="7" s="1" customFormat="1" customHeight="1" spans="2:13">
      <c r="B7" s="9" t="s">
        <v>13</v>
      </c>
      <c r="C7" s="9" t="s">
        <v>14</v>
      </c>
      <c r="D7" s="16"/>
      <c r="E7" s="16"/>
      <c r="F7" s="16"/>
      <c r="G7" s="16"/>
      <c r="H7" s="16"/>
      <c r="I7" s="16"/>
      <c r="J7" s="16">
        <f t="shared" ref="J7:J17" si="0">D7+E7+H7+I7+F7+G7</f>
        <v>0</v>
      </c>
    </row>
    <row r="8" s="1" customFormat="1" customHeight="1" spans="2:13">
      <c r="B8" s="19" t="s">
        <v>15</v>
      </c>
      <c r="C8" s="20">
        <v>0</v>
      </c>
      <c r="D8" s="16"/>
      <c r="E8" s="16">
        <v>0</v>
      </c>
      <c r="F8" s="16"/>
      <c r="G8" s="16"/>
      <c r="H8" s="16"/>
      <c r="I8" s="16"/>
      <c r="J8" s="16">
        <f t="shared" si="0"/>
        <v>0</v>
      </c>
    </row>
    <row r="9" s="1" customFormat="1" customHeight="1" spans="2:13">
      <c r="B9" s="19" t="s">
        <v>16</v>
      </c>
      <c r="C9" s="20">
        <v>0.05</v>
      </c>
      <c r="D9" s="16">
        <f>D6/1.05*C9</f>
        <v>0</v>
      </c>
      <c r="E9" s="16">
        <f>E6/1.09*$C$9</f>
        <v>0</v>
      </c>
      <c r="F9" s="16"/>
      <c r="G9" s="16"/>
      <c r="H9" s="16">
        <f>H6/1.05*$C$9</f>
        <v>0</v>
      </c>
      <c r="I9" s="16">
        <f>I6/1.05*C9</f>
        <v>0</v>
      </c>
      <c r="J9" s="16">
        <f t="shared" si="0"/>
        <v>0</v>
      </c>
    </row>
    <row r="10" s="1" customFormat="1" customHeight="1" spans="2:13">
      <c r="B10" s="19" t="s">
        <v>17</v>
      </c>
      <c r="C10" s="20">
        <v>0.05</v>
      </c>
      <c r="D10" s="16">
        <f t="shared" ref="D10:I10" si="1">D9*$C$10</f>
        <v>0</v>
      </c>
      <c r="E10" s="16">
        <f t="shared" si="1"/>
        <v>0</v>
      </c>
      <c r="F10" s="16"/>
      <c r="G10" s="16"/>
      <c r="H10" s="16">
        <f t="shared" si="1"/>
        <v>0</v>
      </c>
      <c r="I10" s="16">
        <f t="shared" si="1"/>
        <v>0</v>
      </c>
      <c r="J10" s="16">
        <f t="shared" si="0"/>
        <v>0</v>
      </c>
    </row>
    <row r="11" s="1" customFormat="1" customHeight="1" spans="2:13">
      <c r="B11" s="19" t="s">
        <v>18</v>
      </c>
      <c r="C11" s="20">
        <v>0.03</v>
      </c>
      <c r="D11" s="16">
        <f t="shared" ref="D11:H11" si="2">D9*$C$11</f>
        <v>0</v>
      </c>
      <c r="E11" s="16">
        <f t="shared" si="2"/>
        <v>0</v>
      </c>
      <c r="F11" s="16"/>
      <c r="G11" s="16"/>
      <c r="H11" s="16">
        <f t="shared" si="2"/>
        <v>0</v>
      </c>
      <c r="I11" s="16">
        <f>I9*C11</f>
        <v>0</v>
      </c>
      <c r="J11" s="16">
        <f t="shared" si="0"/>
        <v>0</v>
      </c>
    </row>
    <row r="12" s="1" customFormat="1" customHeight="1" spans="2:13">
      <c r="B12" s="19" t="s">
        <v>19</v>
      </c>
      <c r="C12" s="20">
        <v>0.02</v>
      </c>
      <c r="D12" s="16">
        <f t="shared" ref="D12:H12" si="3">D9*$C$12</f>
        <v>0</v>
      </c>
      <c r="E12" s="16">
        <f t="shared" si="3"/>
        <v>0</v>
      </c>
      <c r="F12" s="16"/>
      <c r="G12" s="16"/>
      <c r="H12" s="16">
        <f t="shared" si="3"/>
        <v>0</v>
      </c>
      <c r="I12" s="16">
        <f>I9*C12</f>
        <v>0</v>
      </c>
      <c r="J12" s="16">
        <f t="shared" si="0"/>
        <v>0</v>
      </c>
      <c r="M12" s="21"/>
    </row>
    <row r="13" s="1" customFormat="1" customHeight="1" spans="2:13">
      <c r="B13" s="22" t="s">
        <v>20</v>
      </c>
      <c r="C13" s="23">
        <v>0.01</v>
      </c>
      <c r="D13" s="16">
        <v>0</v>
      </c>
      <c r="E13" s="24">
        <f>E6/1.09*$C$13</f>
        <v>0</v>
      </c>
      <c r="F13" s="24"/>
      <c r="G13" s="24"/>
      <c r="H13" s="24"/>
      <c r="I13" s="24">
        <v>0</v>
      </c>
      <c r="J13" s="16">
        <f t="shared" si="0"/>
        <v>0</v>
      </c>
      <c r="M13" s="21"/>
    </row>
    <row r="14" s="1" customFormat="1" customHeight="1" spans="2:13">
      <c r="B14" s="22" t="s">
        <v>20</v>
      </c>
      <c r="C14" s="25">
        <v>0.03</v>
      </c>
      <c r="D14" s="24">
        <v>0</v>
      </c>
      <c r="E14" s="24">
        <f t="shared" ref="E14:E17" si="4">E6/1.09*$C$14</f>
        <v>0</v>
      </c>
      <c r="F14" s="24"/>
      <c r="G14" s="24"/>
      <c r="H14" s="24"/>
      <c r="I14" s="24">
        <v>0</v>
      </c>
      <c r="J14" s="16">
        <f t="shared" si="0"/>
        <v>0</v>
      </c>
    </row>
    <row r="15" s="1" customFormat="1" customHeight="1" spans="2:13">
      <c r="B15" s="22" t="s">
        <v>20</v>
      </c>
      <c r="C15" s="25">
        <v>0.04</v>
      </c>
      <c r="D15" s="24">
        <v>0</v>
      </c>
      <c r="E15" s="24">
        <f t="shared" si="4"/>
        <v>0</v>
      </c>
      <c r="F15" s="16"/>
      <c r="G15" s="16"/>
      <c r="H15" s="16"/>
      <c r="I15" s="16">
        <v>0</v>
      </c>
      <c r="J15" s="16">
        <f t="shared" si="0"/>
        <v>0</v>
      </c>
    </row>
    <row r="16" s="1" customFormat="1" customHeight="1" spans="2:13">
      <c r="B16" s="22" t="s">
        <v>21</v>
      </c>
      <c r="C16" s="26">
        <v>0.0005</v>
      </c>
      <c r="D16" s="24">
        <f>D6*C16</f>
        <v>0</v>
      </c>
      <c r="E16" s="24">
        <f t="shared" si="4"/>
        <v>0</v>
      </c>
      <c r="F16" s="16">
        <f>F6*C16</f>
        <v>0</v>
      </c>
      <c r="G16" s="16"/>
      <c r="H16" s="16">
        <f>H6*C16</f>
        <v>0</v>
      </c>
      <c r="I16" s="16"/>
      <c r="J16" s="16">
        <f t="shared" si="0"/>
        <v>0</v>
      </c>
    </row>
    <row r="17" s="1" customFormat="1" customHeight="1" spans="1:13 16381:16382">
      <c r="B17" s="22" t="s">
        <v>22</v>
      </c>
      <c r="C17" s="27">
        <v>0.001</v>
      </c>
      <c r="D17" s="24">
        <v>0</v>
      </c>
      <c r="E17" s="24">
        <f t="shared" si="4"/>
        <v>0</v>
      </c>
      <c r="F17" s="16"/>
      <c r="G17" s="16"/>
      <c r="H17" s="16"/>
      <c r="I17" s="16">
        <f>I6*C17</f>
        <v>0</v>
      </c>
      <c r="J17" s="16">
        <f t="shared" si="0"/>
        <v>0</v>
      </c>
    </row>
    <row r="18" s="1" customFormat="1" customHeight="1" spans="1:13 16381:16382">
      <c r="B18" s="22" t="s">
        <v>23</v>
      </c>
      <c r="C18" s="27">
        <v>0.12</v>
      </c>
      <c r="D18" s="24"/>
      <c r="E18" s="24"/>
      <c r="F18" s="16"/>
      <c r="G18" s="16"/>
      <c r="H18" s="16"/>
      <c r="I18" s="16">
        <v>0</v>
      </c>
      <c r="J18" s="16">
        <f>I18</f>
        <v>0</v>
      </c>
    </row>
    <row r="19" s="1" customFormat="1" customHeight="1" spans="1:13 16381:16382">
      <c r="B19" s="22" t="s">
        <v>24</v>
      </c>
      <c r="C19" s="26">
        <v>0.0006</v>
      </c>
      <c r="D19" s="24"/>
      <c r="E19" s="24"/>
      <c r="F19" s="16"/>
      <c r="G19" s="16"/>
      <c r="H19" s="16"/>
      <c r="I19" s="16"/>
      <c r="J19" s="16"/>
    </row>
    <row r="20" s="1" customFormat="1" customHeight="1" spans="1:13 16381:16382">
      <c r="B20" s="22" t="s">
        <v>10</v>
      </c>
      <c r="C20" s="25"/>
      <c r="D20" s="28">
        <f>SUM(D9:D17)</f>
        <v>0</v>
      </c>
      <c r="E20" s="28">
        <f t="shared" ref="E20:H20" si="5">SUM(E8:E17)</f>
        <v>0</v>
      </c>
      <c r="F20" s="28">
        <f t="shared" si="5"/>
        <v>0</v>
      </c>
      <c r="G20" s="28">
        <f t="shared" si="5"/>
        <v>0</v>
      </c>
      <c r="H20" s="28">
        <f t="shared" si="5"/>
        <v>0</v>
      </c>
      <c r="I20" s="28">
        <f>SUM(I8:I19)</f>
        <v>0</v>
      </c>
      <c r="J20" s="28">
        <f>SUM(J8:J19)</f>
        <v>0</v>
      </c>
    </row>
    <row r="21" s="1" customFormat="1" customHeight="1" spans="1:13 16381:16382">
      <c r="B21" s="29"/>
      <c r="C21" s="30"/>
      <c r="D21" s="30"/>
      <c r="E21" s="30"/>
      <c r="F21" s="30"/>
      <c r="G21" s="30"/>
      <c r="H21" s="30"/>
      <c r="I21" s="30"/>
      <c r="J21" s="31"/>
    </row>
    <row r="22" s="1" customFormat="1" customHeight="1" spans="1:13 16381:16382">
      <c r="B22" s="32"/>
      <c r="C22" s="33"/>
      <c r="D22" s="33"/>
      <c r="E22" s="33"/>
      <c r="F22" s="33"/>
      <c r="G22" s="33"/>
      <c r="H22" s="33"/>
      <c r="I22" s="33"/>
      <c r="J22" s="34"/>
    </row>
    <row r="23" s="1" customFormat="1" customHeight="1" spans="1:13 16381:16382">
      <c r="B23" s="35"/>
      <c r="C23" s="35"/>
      <c r="D23" s="36"/>
    </row>
    <row r="24" s="1" customFormat="1" hidden="1" customHeight="1" spans="1:13 16381:16382">
      <c r="B24" s="37" t="s">
        <v>25</v>
      </c>
      <c r="C24" s="38"/>
      <c r="D24" s="38"/>
      <c r="E24" s="38"/>
      <c r="F24" s="38"/>
      <c r="G24" s="38"/>
      <c r="H24" s="38"/>
      <c r="I24" s="38"/>
      <c r="J24" s="38"/>
      <c r="K24" s="39"/>
      <c r="XFA24" s="3"/>
      <c r="XFB24" s="3"/>
    </row>
    <row r="25" s="2" customFormat="1" hidden="1" customHeight="1" spans="1:13 16381:16382">
      <c r="B25" s="40" t="s">
        <v>26</v>
      </c>
      <c r="C25" s="41"/>
      <c r="D25" s="42" t="s">
        <v>27</v>
      </c>
      <c r="E25" s="40" t="s">
        <v>28</v>
      </c>
      <c r="F25" s="43" t="s">
        <v>29</v>
      </c>
      <c r="G25" s="44" t="s">
        <v>30</v>
      </c>
      <c r="H25" s="9" t="s">
        <v>14</v>
      </c>
      <c r="I25" s="9" t="s">
        <v>31</v>
      </c>
      <c r="J25" s="45" t="s">
        <v>32</v>
      </c>
      <c r="K25" s="45" t="s">
        <v>33</v>
      </c>
      <c r="XFA25" s="46"/>
      <c r="XFB25" s="46"/>
    </row>
    <row r="26" s="1" customFormat="1" hidden="1" customHeight="1" spans="1:13 16381:16382">
      <c r="B26" s="47" t="s">
        <v>34</v>
      </c>
      <c r="C26" s="45" t="s">
        <v>35</v>
      </c>
      <c r="D26" s="16" t="e">
        <f>F21-#REF!</f>
        <v>#REF!</v>
      </c>
      <c r="E26" s="16">
        <v>2061.7604564128</v>
      </c>
      <c r="F26" s="48"/>
      <c r="G26" s="16">
        <f>38533/1.05</f>
        <v>36698.0952380952</v>
      </c>
      <c r="H26" s="49">
        <v>0.12</v>
      </c>
      <c r="I26" s="50">
        <f>G26*H26</f>
        <v>4403.77142857143</v>
      </c>
      <c r="J26" s="51">
        <v>4403.77</v>
      </c>
      <c r="K26" s="45" t="s">
        <v>36</v>
      </c>
      <c r="XFA26" s="3"/>
      <c r="XFB26" s="3"/>
    </row>
    <row r="27" s="3" customFormat="1" customHeight="1" spans="1:13 16381:16382">
      <c r="B27" s="35"/>
      <c r="C27" s="35"/>
      <c r="D27" s="36"/>
    </row>
    <row r="28" s="3" customFormat="1" customHeight="1" spans="1:13 16381:16382">
      <c r="A28" s="1"/>
      <c r="B28" s="52" t="s">
        <v>37</v>
      </c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</row>
    <row r="29" s="3" customFormat="1" customHeight="1" spans="1:13 16381:16382">
      <c r="A29" s="1"/>
      <c r="B29" s="45" t="s">
        <v>38</v>
      </c>
      <c r="C29" s="45" t="s">
        <v>39</v>
      </c>
      <c r="D29" s="53" t="s">
        <v>40</v>
      </c>
      <c r="E29" s="42" t="s">
        <v>41</v>
      </c>
      <c r="F29" s="42" t="s">
        <v>27</v>
      </c>
      <c r="G29" s="42" t="s">
        <v>42</v>
      </c>
      <c r="H29" s="45" t="s">
        <v>43</v>
      </c>
      <c r="I29" s="45" t="s">
        <v>44</v>
      </c>
      <c r="J29" s="45" t="s">
        <v>45</v>
      </c>
      <c r="K29" s="45" t="s">
        <v>46</v>
      </c>
      <c r="L29" s="45" t="s">
        <v>47</v>
      </c>
      <c r="M29" s="45" t="s">
        <v>33</v>
      </c>
    </row>
    <row r="30" s="3" customFormat="1" customHeight="1" spans="1:13 16381:16382">
      <c r="A30" s="1"/>
      <c r="B30" s="45">
        <v>1</v>
      </c>
      <c r="C30" s="45" t="s">
        <v>35</v>
      </c>
      <c r="D30" s="45">
        <v>33446.1</v>
      </c>
      <c r="E30" s="45">
        <v>33430.6</v>
      </c>
      <c r="F30" s="45">
        <v>469.536</v>
      </c>
      <c r="G30" s="54">
        <v>4.8</v>
      </c>
      <c r="H30" s="55">
        <f>F30/G30</f>
        <v>97.82</v>
      </c>
      <c r="I30" s="45" t="s">
        <v>48</v>
      </c>
      <c r="J30" s="45">
        <v>3</v>
      </c>
      <c r="K30" s="45">
        <f>ROUND(H30*J30,2)</f>
        <v>293.46</v>
      </c>
      <c r="L30" s="51">
        <f>K30</f>
        <v>293.46</v>
      </c>
      <c r="M30" s="45" t="s">
        <v>49</v>
      </c>
    </row>
    <row r="31" s="3" customFormat="1" customHeight="1" spans="1:13 16381:16382">
      <c r="A31" s="1"/>
      <c r="B31" s="45" t="s">
        <v>10</v>
      </c>
      <c r="C31" s="45"/>
      <c r="D31" s="45"/>
      <c r="E31" s="45"/>
      <c r="F31" s="45">
        <f>SUM(F30:F30)</f>
        <v>469.536</v>
      </c>
      <c r="G31" s="54"/>
      <c r="H31" s="54"/>
      <c r="I31" s="54"/>
      <c r="J31" s="54"/>
      <c r="K31" s="45">
        <f>SUM(K30:K30)</f>
        <v>293.46</v>
      </c>
      <c r="L31" s="51">
        <f>SUM(L30:L30)</f>
        <v>293.46</v>
      </c>
      <c r="M31" s="54"/>
    </row>
    <row r="32" s="3" customFormat="1" customHeight="1" spans="1:13 16381:16382">
      <c r="A32" s="1"/>
      <c r="B32" s="37" t="s">
        <v>25</v>
      </c>
      <c r="C32" s="38"/>
      <c r="D32" s="38"/>
      <c r="E32" s="38"/>
      <c r="F32" s="38"/>
      <c r="G32" s="38"/>
      <c r="H32" s="38"/>
      <c r="I32" s="38"/>
      <c r="J32" s="38"/>
      <c r="K32" s="39"/>
      <c r="L32" s="1"/>
      <c r="M32" s="1"/>
    </row>
    <row r="33" s="3" customFormat="1" customHeight="1" spans="1:13">
      <c r="A33" s="1"/>
      <c r="B33" s="40" t="s">
        <v>26</v>
      </c>
      <c r="C33" s="41"/>
      <c r="D33" s="40" t="s">
        <v>50</v>
      </c>
      <c r="E33" s="40" t="s">
        <v>30</v>
      </c>
      <c r="F33" s="43" t="s">
        <v>14</v>
      </c>
      <c r="G33" s="44" t="s">
        <v>51</v>
      </c>
      <c r="H33" s="9" t="s">
        <v>52</v>
      </c>
      <c r="I33" s="9"/>
      <c r="J33" s="9"/>
      <c r="K33" s="9"/>
      <c r="L33" s="2"/>
      <c r="M33" s="2"/>
    </row>
    <row r="34" s="3" customFormat="1" customHeight="1" spans="1:13">
      <c r="A34" s="1"/>
      <c r="B34" s="47" t="s">
        <v>34</v>
      </c>
      <c r="C34" s="45" t="s">
        <v>53</v>
      </c>
      <c r="D34" s="54">
        <v>48.35</v>
      </c>
      <c r="E34" s="56"/>
      <c r="F34" s="56">
        <v>0.12</v>
      </c>
      <c r="G34" s="56">
        <f>E34*F34</f>
        <v>0</v>
      </c>
      <c r="H34" s="56">
        <f>G34</f>
        <v>0</v>
      </c>
      <c r="I34" s="56">
        <v>7</v>
      </c>
      <c r="J34" s="56"/>
      <c r="K34" s="56"/>
      <c r="L34" s="1"/>
      <c r="M34" s="1"/>
    </row>
    <row r="35" s="3" customFormat="1" customHeight="1" spans="1:13">
      <c r="B35" s="57"/>
      <c r="C35" s="58"/>
      <c r="D35" s="59"/>
      <c r="E35" s="60"/>
      <c r="F35" s="60"/>
      <c r="G35" s="60"/>
      <c r="H35" s="60"/>
      <c r="I35" s="60"/>
      <c r="J35" s="60"/>
      <c r="K35" s="60"/>
    </row>
    <row r="36" s="3" customFormat="1" customHeight="1" spans="1:13">
      <c r="B36" s="57"/>
      <c r="C36" s="58"/>
      <c r="D36" s="59"/>
      <c r="E36" s="60"/>
      <c r="F36" s="60"/>
      <c r="G36" s="60"/>
      <c r="H36" s="60"/>
      <c r="I36" s="60"/>
      <c r="J36" s="60"/>
      <c r="K36" s="60"/>
    </row>
    <row r="37" s="3" customFormat="1" customHeight="1" spans="1:13">
      <c r="B37" s="35"/>
      <c r="C37" s="35"/>
      <c r="D37" s="36"/>
    </row>
    <row r="38" s="3" customFormat="1" customHeight="1" spans="1:13">
      <c r="B38" s="61" t="s">
        <v>24</v>
      </c>
      <c r="C38" s="61" t="s">
        <v>2</v>
      </c>
      <c r="D38" s="61" t="s">
        <v>54</v>
      </c>
      <c r="E38" s="62" t="s">
        <v>55</v>
      </c>
      <c r="F38" s="63" t="s">
        <v>56</v>
      </c>
      <c r="G38" s="63" t="s">
        <v>14</v>
      </c>
      <c r="H38" s="62" t="s">
        <v>57</v>
      </c>
      <c r="I38" s="64" t="s">
        <v>58</v>
      </c>
    </row>
    <row r="39" s="3" customFormat="1" customHeight="1" spans="1:13">
      <c r="B39" s="61"/>
      <c r="C39" s="61" t="s">
        <v>59</v>
      </c>
      <c r="D39" s="65"/>
      <c r="E39" s="62">
        <f>38483.3333333333*2</f>
        <v>76966.6666666666</v>
      </c>
      <c r="F39" s="63">
        <v>0.7</v>
      </c>
      <c r="G39" s="63">
        <v>0.012</v>
      </c>
      <c r="H39" s="62">
        <f>E39*F39*G39/2</f>
        <v>323.26</v>
      </c>
      <c r="I39" s="24"/>
    </row>
    <row r="40" s="3" customFormat="1" customHeight="1" spans="1:13">
      <c r="B40" s="61"/>
      <c r="C40" s="63" t="s">
        <v>10</v>
      </c>
      <c r="D40" s="63"/>
      <c r="E40" s="63"/>
      <c r="F40" s="63"/>
      <c r="G40" s="63"/>
      <c r="H40" s="62">
        <f>SUM(H39:H39)</f>
        <v>323.26</v>
      </c>
      <c r="I40" s="66">
        <f>SUM(I39:I39)</f>
        <v>0</v>
      </c>
    </row>
    <row r="41" s="3" customFormat="1" hidden="1" customHeight="1" spans="1:13">
      <c r="B41" s="57" t="s">
        <v>60</v>
      </c>
      <c r="C41" s="67">
        <f>+J20+L31+H34+H40+C54</f>
        <v>150590.865</v>
      </c>
      <c r="D41" s="36"/>
    </row>
    <row r="42" s="3" customFormat="1" customHeight="1" spans="1:13">
      <c r="B42" s="35"/>
      <c r="C42" s="35"/>
      <c r="D42" s="36"/>
    </row>
    <row r="43" s="3" customFormat="1" customHeight="1" spans="1:13">
      <c r="B43" s="35"/>
      <c r="C43" s="35"/>
      <c r="D43" s="36"/>
    </row>
    <row r="44" hidden="1" customHeight="1" spans="1:13">
      <c r="B44" s="68"/>
      <c r="C44" s="68" t="s">
        <v>57</v>
      </c>
    </row>
    <row r="45" hidden="1" customHeight="1" spans="1:13">
      <c r="B45" s="69" t="s">
        <v>61</v>
      </c>
      <c r="C45" s="70">
        <v>1927760</v>
      </c>
      <c r="F45" s="21"/>
    </row>
    <row r="46" hidden="1" customHeight="1" spans="1:13">
      <c r="B46" s="68" t="s">
        <v>62</v>
      </c>
      <c r="C46" s="71">
        <v>57650.48</v>
      </c>
    </row>
    <row r="47" hidden="1" customHeight="1" spans="1:13">
      <c r="B47" s="68" t="s">
        <v>63</v>
      </c>
      <c r="C47" s="70">
        <v>1283471.66</v>
      </c>
    </row>
    <row r="48" hidden="1" customHeight="1" spans="1:13">
      <c r="B48" s="68" t="s">
        <v>64</v>
      </c>
      <c r="C48" s="71">
        <v>45302.91</v>
      </c>
      <c r="G48" s="21"/>
    </row>
    <row r="49" hidden="1" customHeight="1" spans="2:13">
      <c r="B49" s="68" t="s">
        <v>65</v>
      </c>
      <c r="C49" s="71">
        <v>3012.67</v>
      </c>
      <c r="G49" s="21"/>
    </row>
    <row r="50" hidden="1" customHeight="1" spans="2:13">
      <c r="B50" s="68" t="s">
        <v>66</v>
      </c>
      <c r="C50" s="71">
        <v>551.97</v>
      </c>
    </row>
    <row r="51" hidden="1" customHeight="1" spans="2:13">
      <c r="B51" s="68" t="s">
        <v>67</v>
      </c>
      <c r="C51" s="70">
        <f>C45+C46-C47-C48-C49-C50</f>
        <v>653071.27</v>
      </c>
    </row>
    <row r="52" hidden="1" customHeight="1" spans="2:13">
      <c r="B52" s="19" t="s">
        <v>68</v>
      </c>
      <c r="C52" s="72">
        <v>0.25</v>
      </c>
    </row>
    <row r="53" hidden="1" customHeight="1" spans="2:13">
      <c r="B53" s="19" t="s">
        <v>69</v>
      </c>
      <c r="C53" s="70">
        <v>13293.6725</v>
      </c>
    </row>
    <row r="54" hidden="1" customHeight="1" spans="2:13">
      <c r="B54" s="19" t="s">
        <v>70</v>
      </c>
      <c r="C54" s="70">
        <f>C51*C52-C53</f>
        <v>149974.145</v>
      </c>
      <c r="E54" s="1">
        <f>C54/C52</f>
        <v>599896.58</v>
      </c>
    </row>
    <row r="55" hidden="1" customHeight="1"/>
    <row r="56" hidden="1" customHeight="1" spans="2:13">
      <c r="B56" s="52" t="s">
        <v>71</v>
      </c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</row>
    <row r="57" hidden="1" customHeight="1" spans="2:13">
      <c r="B57" s="45" t="s">
        <v>38</v>
      </c>
      <c r="C57" s="45" t="s">
        <v>39</v>
      </c>
      <c r="D57" s="53" t="s">
        <v>40</v>
      </c>
      <c r="E57" s="42" t="s">
        <v>41</v>
      </c>
      <c r="F57" s="42" t="s">
        <v>27</v>
      </c>
      <c r="G57" s="42" t="s">
        <v>42</v>
      </c>
      <c r="H57" s="45" t="s">
        <v>43</v>
      </c>
      <c r="I57" s="45" t="s">
        <v>44</v>
      </c>
      <c r="J57" s="45" t="s">
        <v>45</v>
      </c>
      <c r="K57" s="45" t="s">
        <v>46</v>
      </c>
      <c r="L57" s="45" t="s">
        <v>47</v>
      </c>
      <c r="M57" s="45" t="s">
        <v>33</v>
      </c>
    </row>
    <row r="58" hidden="1" customHeight="1" spans="2:13">
      <c r="B58" s="45">
        <v>1</v>
      </c>
      <c r="C58" s="45" t="s">
        <v>72</v>
      </c>
      <c r="D58" s="45">
        <v>33446.1</v>
      </c>
      <c r="E58" s="45">
        <v>33430.6</v>
      </c>
      <c r="F58" s="45">
        <v>1446.38</v>
      </c>
      <c r="G58" s="54">
        <v>4.8</v>
      </c>
      <c r="H58" s="55">
        <f>F58/G58</f>
        <v>301.329166666667</v>
      </c>
      <c r="I58" s="45" t="s">
        <v>48</v>
      </c>
      <c r="J58" s="45">
        <v>3</v>
      </c>
      <c r="K58" s="45">
        <f>ROUND(H58*J58,2)</f>
        <v>903.99</v>
      </c>
      <c r="L58" s="51">
        <f>K58/2</f>
        <v>451.995</v>
      </c>
      <c r="M58" s="45" t="s">
        <v>49</v>
      </c>
    </row>
    <row r="59" hidden="1" customHeight="1" spans="2:13">
      <c r="B59" s="45" t="s">
        <v>10</v>
      </c>
      <c r="C59" s="45"/>
      <c r="D59" s="45"/>
      <c r="E59" s="45"/>
      <c r="F59" s="45">
        <f>SUM(F58:F58)</f>
        <v>1446.38</v>
      </c>
      <c r="G59" s="54"/>
      <c r="H59" s="54"/>
      <c r="I59" s="54"/>
      <c r="J59" s="54"/>
      <c r="K59" s="45">
        <f>SUM(K58:K58)</f>
        <v>903.99</v>
      </c>
      <c r="L59" s="51">
        <f>SUM(L58:L58)</f>
        <v>451.995</v>
      </c>
      <c r="M59" s="54"/>
    </row>
    <row r="60" hidden="1" customHeight="1" spans="2:13">
      <c r="B60" s="37" t="s">
        <v>25</v>
      </c>
      <c r="C60" s="38"/>
      <c r="D60" s="38"/>
      <c r="E60" s="38"/>
      <c r="F60" s="38"/>
      <c r="G60" s="38"/>
      <c r="H60" s="38"/>
      <c r="I60" s="38"/>
      <c r="J60" s="38"/>
      <c r="K60" s="39"/>
    </row>
    <row r="61" hidden="1" customHeight="1" spans="2:13">
      <c r="B61" s="40" t="s">
        <v>26</v>
      </c>
      <c r="C61" s="41"/>
      <c r="D61" s="40" t="s">
        <v>50</v>
      </c>
      <c r="E61" s="40" t="s">
        <v>30</v>
      </c>
      <c r="F61" s="43" t="s">
        <v>14</v>
      </c>
      <c r="G61" s="44" t="s">
        <v>51</v>
      </c>
      <c r="H61" s="9"/>
      <c r="I61" s="9"/>
      <c r="J61" s="9"/>
      <c r="K61" s="9"/>
      <c r="L61" s="2"/>
      <c r="M61" s="2"/>
    </row>
    <row r="62" hidden="1" customHeight="1" spans="2:13">
      <c r="B62" s="47" t="s">
        <v>34</v>
      </c>
      <c r="C62" s="45" t="s">
        <v>72</v>
      </c>
      <c r="D62" s="16">
        <v>37.33</v>
      </c>
      <c r="E62" s="16">
        <v>210000</v>
      </c>
      <c r="F62" s="73">
        <v>0.12</v>
      </c>
      <c r="G62" s="16">
        <f>E62*F62</f>
        <v>25200</v>
      </c>
      <c r="H62" s="9" t="s">
        <v>73</v>
      </c>
      <c r="I62" s="19"/>
      <c r="J62" s="19"/>
      <c r="K62" s="19"/>
    </row>
    <row r="63" hidden="1" customHeight="1"/>
    <row r="64" hidden="1" customHeight="1"/>
    <row r="65" hidden="1" customHeight="1"/>
    <row r="66" hidden="1" customHeight="1" spans="2:8">
      <c r="B66" s="74" t="s">
        <v>74</v>
      </c>
      <c r="C66" s="74"/>
      <c r="D66" s="74"/>
      <c r="E66" s="74"/>
      <c r="F66" s="74"/>
      <c r="G66" s="74"/>
      <c r="H66" s="74"/>
    </row>
    <row r="67" hidden="1" customHeight="1" spans="2:8">
      <c r="B67" s="75"/>
      <c r="C67" s="75"/>
      <c r="D67" s="75"/>
      <c r="E67" s="75"/>
      <c r="F67" s="75"/>
      <c r="G67" s="75"/>
      <c r="H67" s="75" t="s">
        <v>75</v>
      </c>
    </row>
    <row r="68" hidden="1" customHeight="1" spans="2:8">
      <c r="B68" s="76" t="s">
        <v>76</v>
      </c>
      <c r="C68" s="77" t="s">
        <v>2</v>
      </c>
      <c r="D68" s="78" t="s">
        <v>30</v>
      </c>
      <c r="E68" s="79" t="s">
        <v>14</v>
      </c>
      <c r="F68" s="78" t="s">
        <v>77</v>
      </c>
      <c r="G68" s="78" t="s">
        <v>52</v>
      </c>
      <c r="H68" s="77" t="s">
        <v>33</v>
      </c>
    </row>
    <row r="69" hidden="1" customHeight="1" spans="2:8">
      <c r="B69" s="76" t="s">
        <v>16</v>
      </c>
      <c r="C69" s="77" t="s">
        <v>78</v>
      </c>
      <c r="D69" s="80">
        <v>272444.76</v>
      </c>
      <c r="E69" s="81">
        <v>0.05</v>
      </c>
      <c r="F69" s="82">
        <f t="shared" ref="F69:F72" si="6">ROUND(D69*E69,2)</f>
        <v>13622.24</v>
      </c>
      <c r="G69" s="82">
        <v>0</v>
      </c>
      <c r="H69" s="83"/>
    </row>
    <row r="70" hidden="1" customHeight="1" spans="2:8">
      <c r="B70" s="76" t="s">
        <v>17</v>
      </c>
      <c r="C70" s="77" t="s">
        <v>78</v>
      </c>
      <c r="D70" s="80">
        <f>F69</f>
        <v>13622.24</v>
      </c>
      <c r="E70" s="84">
        <f>7%*50%</f>
        <v>0.035</v>
      </c>
      <c r="F70" s="82">
        <f t="shared" si="6"/>
        <v>476.78</v>
      </c>
      <c r="G70" s="82">
        <v>0</v>
      </c>
      <c r="H70" s="85" t="s">
        <v>79</v>
      </c>
    </row>
    <row r="71" hidden="1" customHeight="1" spans="2:8">
      <c r="B71" s="76" t="s">
        <v>18</v>
      </c>
      <c r="C71" s="77" t="s">
        <v>78</v>
      </c>
      <c r="D71" s="80">
        <f>F69</f>
        <v>13622.24</v>
      </c>
      <c r="E71" s="84">
        <f>3%*50%</f>
        <v>0.015</v>
      </c>
      <c r="F71" s="82">
        <f t="shared" si="6"/>
        <v>204.33</v>
      </c>
      <c r="G71" s="82">
        <v>0</v>
      </c>
      <c r="H71" s="85"/>
    </row>
    <row r="72" hidden="1" customHeight="1" spans="2:8">
      <c r="B72" s="76" t="s">
        <v>19</v>
      </c>
      <c r="C72" s="77" t="s">
        <v>78</v>
      </c>
      <c r="D72" s="80">
        <f>F69</f>
        <v>13622.24</v>
      </c>
      <c r="E72" s="84">
        <f>2%*50%</f>
        <v>0.01</v>
      </c>
      <c r="F72" s="82">
        <f t="shared" si="6"/>
        <v>136.22</v>
      </c>
      <c r="G72" s="82">
        <v>0</v>
      </c>
      <c r="H72" s="85"/>
    </row>
    <row r="73" hidden="1" customHeight="1" spans="2:8">
      <c r="B73" s="76" t="s">
        <v>80</v>
      </c>
      <c r="C73" s="77" t="s">
        <v>78</v>
      </c>
      <c r="D73" s="80">
        <v>140000</v>
      </c>
      <c r="E73" s="86">
        <f>0.12*50%</f>
        <v>0.06</v>
      </c>
      <c r="F73" s="82">
        <f>'[1]房产税（从租）计算表 2025'!Q70</f>
        <v>0</v>
      </c>
      <c r="G73" s="82">
        <v>8000</v>
      </c>
      <c r="H73" s="85"/>
    </row>
    <row r="74" hidden="1" customHeight="1" spans="2:8">
      <c r="B74" s="76" t="s">
        <v>81</v>
      </c>
      <c r="C74" s="77" t="s">
        <v>78</v>
      </c>
      <c r="D74" s="87">
        <v>149067</v>
      </c>
      <c r="E74" s="86">
        <f>0.12*50%</f>
        <v>0.06</v>
      </c>
      <c r="F74" s="82">
        <f>'[1]房产税（从租）计算表 2025'!J131</f>
        <v>0</v>
      </c>
      <c r="G74" s="82">
        <v>7375.25714285714</v>
      </c>
      <c r="H74" s="85"/>
    </row>
    <row r="75" hidden="1" customHeight="1" spans="2:8">
      <c r="B75" s="76" t="s">
        <v>82</v>
      </c>
      <c r="C75" s="77" t="s">
        <v>83</v>
      </c>
      <c r="D75" s="80" t="str">
        <f>'[1]房产税（从租）计算表 2025'!G73</f>
        <v>不含税收入</v>
      </c>
      <c r="E75" s="86">
        <f>0.7*0.012*0.5*0.5</f>
        <v>0.0021</v>
      </c>
      <c r="F75" s="82" t="e">
        <f>ROUND(D75*E75,2)</f>
        <v>#VALUE!</v>
      </c>
      <c r="G75" s="82">
        <v>3880.94</v>
      </c>
      <c r="H75" s="85"/>
    </row>
    <row r="76" hidden="1" customHeight="1" spans="2:8">
      <c r="B76" s="76" t="s">
        <v>84</v>
      </c>
      <c r="C76" s="77" t="s">
        <v>83</v>
      </c>
      <c r="D76" s="87">
        <f>'[1]房产税（从租）计算表 2025'!F126</f>
        <v>0</v>
      </c>
      <c r="E76" s="86">
        <f>0.7*0.012*0.5*0.5</f>
        <v>0.0021</v>
      </c>
      <c r="F76" s="82">
        <f>ROUND(D76*E76,2)</f>
        <v>0</v>
      </c>
      <c r="G76" s="82">
        <v>5782.65</v>
      </c>
      <c r="H76" s="85"/>
    </row>
    <row r="77" hidden="1" customHeight="1" spans="2:8">
      <c r="B77" s="76" t="s">
        <v>85</v>
      </c>
      <c r="C77" s="77" t="s">
        <v>78</v>
      </c>
      <c r="D77" s="80">
        <v>272444.76</v>
      </c>
      <c r="E77" s="88">
        <f>0.01*0.1</f>
        <v>0.001</v>
      </c>
      <c r="F77" s="82">
        <f>ROUND(E77*D77,2)-0.01</f>
        <v>272.43</v>
      </c>
      <c r="G77" s="82">
        <f>F77*0.5</f>
        <v>136.215</v>
      </c>
      <c r="H77" s="85"/>
    </row>
    <row r="78" hidden="1" customHeight="1" spans="2:8">
      <c r="B78" s="76" t="s">
        <v>86</v>
      </c>
      <c r="C78" s="77" t="s">
        <v>78</v>
      </c>
      <c r="D78" s="87">
        <v>-34105.55</v>
      </c>
      <c r="E78" s="81">
        <v>0.25</v>
      </c>
      <c r="F78" s="82">
        <v>0</v>
      </c>
      <c r="G78" s="82"/>
      <c r="H78" s="85"/>
    </row>
    <row r="79" hidden="1" customHeight="1" spans="2:8">
      <c r="B79" s="76" t="s">
        <v>87</v>
      </c>
      <c r="C79" s="77" t="s">
        <v>78</v>
      </c>
      <c r="D79" s="87">
        <v>15000</v>
      </c>
      <c r="E79" s="81">
        <v>0.02</v>
      </c>
      <c r="F79" s="82">
        <f>D79*E79</f>
        <v>300</v>
      </c>
      <c r="G79" s="82">
        <v>300</v>
      </c>
      <c r="H79" s="85"/>
    </row>
    <row r="80" hidden="1" customHeight="1" spans="2:8">
      <c r="B80" s="76" t="s">
        <v>88</v>
      </c>
      <c r="C80" s="77" t="s">
        <v>83</v>
      </c>
      <c r="D80" s="87">
        <f>+F100+F104</f>
        <v>0</v>
      </c>
      <c r="E80" s="81"/>
      <c r="F80" s="82">
        <v>5032.14</v>
      </c>
      <c r="G80" s="82">
        <f>+H100+H104</f>
        <v>0</v>
      </c>
      <c r="H80" s="85"/>
    </row>
    <row r="81" hidden="1" customHeight="1" spans="1:8">
      <c r="B81" s="76" t="s">
        <v>89</v>
      </c>
      <c r="C81" s="77"/>
      <c r="D81" s="78"/>
      <c r="E81" s="79"/>
      <c r="F81" s="82" t="e">
        <f>SUM(F69:F79)</f>
        <v>#VALUE!</v>
      </c>
      <c r="G81" s="82">
        <f>SUM(G69:G80)</f>
        <v>25475.0621428571</v>
      </c>
      <c r="H81" s="76"/>
    </row>
    <row r="82" hidden="1" customHeight="1"/>
    <row r="83" hidden="1" customHeight="1" spans="1:8">
      <c r="B83" s="1" t="s">
        <v>90</v>
      </c>
    </row>
    <row r="84" hidden="1" customHeight="1" spans="1:8">
      <c r="A84" s="1">
        <v>1</v>
      </c>
      <c r="B84" s="54" t="s">
        <v>91</v>
      </c>
      <c r="C84" s="54">
        <v>48.35</v>
      </c>
      <c r="D84" s="89" t="s">
        <v>92</v>
      </c>
      <c r="E84" s="1" t="s">
        <v>93</v>
      </c>
    </row>
    <row r="85" hidden="1" customHeight="1" spans="1:8">
      <c r="A85" s="1">
        <v>2</v>
      </c>
      <c r="B85" s="54" t="s">
        <v>94</v>
      </c>
      <c r="C85" s="54">
        <v>37.33</v>
      </c>
      <c r="D85" s="89" t="s">
        <v>92</v>
      </c>
    </row>
    <row r="86" hidden="1" customHeight="1" spans="1:8">
      <c r="A86" s="1">
        <v>3</v>
      </c>
      <c r="B86" s="54" t="s">
        <v>95</v>
      </c>
      <c r="C86" s="54">
        <v>458.96</v>
      </c>
      <c r="D86" s="89" t="s">
        <v>92</v>
      </c>
      <c r="E86" s="1" t="s">
        <v>93</v>
      </c>
    </row>
    <row r="87" hidden="1" customHeight="1" spans="1:8">
      <c r="A87" s="1">
        <v>4</v>
      </c>
      <c r="B87" s="54" t="s">
        <v>96</v>
      </c>
      <c r="C87" s="54">
        <v>92.19</v>
      </c>
      <c r="D87" s="1" t="s">
        <v>92</v>
      </c>
    </row>
    <row r="88" hidden="1" customHeight="1" spans="1:8">
      <c r="A88" s="1">
        <v>5</v>
      </c>
      <c r="B88" s="54" t="s">
        <v>97</v>
      </c>
      <c r="C88" s="54">
        <v>83.85</v>
      </c>
      <c r="D88" s="1" t="s">
        <v>92</v>
      </c>
    </row>
    <row r="89" hidden="1" customHeight="1" spans="1:8">
      <c r="A89" s="1">
        <v>6</v>
      </c>
      <c r="B89" s="54" t="s">
        <v>98</v>
      </c>
      <c r="C89" s="54">
        <v>725.7</v>
      </c>
      <c r="D89" s="1" t="s">
        <v>92</v>
      </c>
    </row>
    <row r="90" hidden="1" customHeight="1" spans="1:8">
      <c r="B90" s="1" t="s">
        <v>60</v>
      </c>
      <c r="C90" s="1">
        <f>SUM(C84:C89)</f>
        <v>1446.38</v>
      </c>
      <c r="E90" s="1">
        <f>+C84+C86</f>
        <v>507.31</v>
      </c>
    </row>
    <row r="91" hidden="1" customHeight="1"/>
    <row r="92" hidden="1" customHeight="1"/>
    <row r="93" hidden="1" customHeight="1" spans="1:8">
      <c r="B93" s="1" t="s">
        <v>99</v>
      </c>
      <c r="C93" s="1">
        <v>1657.89</v>
      </c>
    </row>
    <row r="94" hidden="1" customHeight="1" spans="1:8">
      <c r="B94" s="1" t="s">
        <v>100</v>
      </c>
      <c r="C94" s="1">
        <f>+C93-C90</f>
        <v>211.51</v>
      </c>
    </row>
    <row r="95" hidden="1" customHeight="1"/>
    <row r="96" hidden="1" customHeight="1"/>
    <row r="97" hidden="1" customHeight="1"/>
    <row r="98" hidden="1" customHeight="1" spans="2:4">
      <c r="B98" s="1" t="s">
        <v>101</v>
      </c>
      <c r="C98" s="1">
        <v>391</v>
      </c>
      <c r="D98" s="46" t="s">
        <v>102</v>
      </c>
    </row>
    <row r="99" hidden="1" customHeight="1" spans="2:4">
      <c r="B99" s="1" t="s">
        <v>103</v>
      </c>
      <c r="C99" s="1">
        <f>+C89-C98</f>
        <v>334.7</v>
      </c>
      <c r="D99" s="46"/>
    </row>
  </sheetData>
  <mergeCells count="17">
    <mergeCell ref="B2:J2"/>
    <mergeCell ref="F4:G4"/>
    <mergeCell ref="B24:K24"/>
    <mergeCell ref="B31:C31"/>
    <mergeCell ref="B32:K32"/>
    <mergeCell ref="C40:G40"/>
    <mergeCell ref="B59:C59"/>
    <mergeCell ref="B60:K60"/>
    <mergeCell ref="B66:H66"/>
    <mergeCell ref="B38:B40"/>
    <mergeCell ref="D98:D99"/>
    <mergeCell ref="H4:H5"/>
    <mergeCell ref="H70:H79"/>
    <mergeCell ref="I4:I5"/>
    <mergeCell ref="J4:J5"/>
    <mergeCell ref="B4:C6"/>
    <mergeCell ref="B21:J22"/>
  </mergeCells>
  <conditionalFormatting sqref="C84:C85">
    <cfRule type="expression" priority="2" stopIfTrue="1">
      <formula>$G84&lt;&gt;0</formula>
    </cfRule>
  </conditionalFormatting>
  <conditionalFormatting sqref="C86:C89">
    <cfRule type="expression" priority="1" stopIfTrue="1">
      <formula>$G86&lt;&gt;0</formula>
    </cfRule>
  </conditionalFormatting>
  <conditionalFormatting sqref="D34:D36">
    <cfRule type="expression" priority="4" stopIfTrue="1">
      <formula>$G34&lt;&gt;0</formula>
    </cfRule>
  </conditionalFormatting>
  <conditionalFormatting sqref="E34:K36">
    <cfRule type="expression" priority="3" stopIfTrue="1">
      <formula>$G34&lt;&gt;0</formula>
    </cfRule>
  </conditionalFormatting>
  <printOptions horizontalCentered="1"/>
  <pageMargins left="0.357638888888889" right="0.357638888888889" top="1" bottom="1" header="0.5" footer="0.5"/>
  <pageSetup paperSize="9" scale="85" orientation="landscape" horizont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2026.3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WPS_1598868827</cp:lastModifiedBy>
  <dcterms:created xsi:type="dcterms:W3CDTF">2023-04-20T02:50:00Z</dcterms:created>
  <dcterms:modified xsi:type="dcterms:W3CDTF">2026-04-15T10:49:58Z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9EFAC74087DC4447AE51D45D89E6CFEB_13</vt:lpwstr>
  </property>
  <property fmtid="{D5CDD505-2E9C-101B-9397-08002B2CF9AE}" pid="3" name="KSOProductBuildVer">
    <vt:lpwstr>2052-12.1.0.25225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