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 tabRatio="665" activeTab="2"/>
  </bookViews>
  <sheets>
    <sheet name="房产税&amp;土地使用税" sheetId="3" r:id="rId1"/>
    <sheet name="房产税" sheetId="4" r:id="rId2"/>
    <sheet name="2026.1季度税金  " sheetId="15" r:id="rId3"/>
    <sheet name="2026.3月房产税计算表" sheetId="16" r:id="rId4"/>
  </sheets>
  <definedNames>
    <definedName name="_xlnm._FilterDatabase" localSheetId="3" hidden="1">'2026.3月房产税计算表'!$A$3:$R$20</definedName>
    <definedName name="_xlnm.Print_Area" localSheetId="2">'2026.1季度税金  '!$B$1:$H$16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 xml:space="preserve"> </author>
  </authors>
  <commentList>
    <comment ref="E4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2022.6.7</t>
        </r>
      </text>
    </comment>
    <comment ref="E5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现组面积243.44平米</t>
        </r>
      </text>
    </comment>
    <comment ref="E5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158.6</t>
        </r>
      </text>
    </comment>
  </commentList>
</comments>
</file>

<file path=xl/sharedStrings.xml><?xml version="1.0" encoding="utf-8"?>
<sst xmlns="http://schemas.openxmlformats.org/spreadsheetml/2006/main" count="513" uniqueCount="334">
  <si>
    <t>征稽大厦房产税</t>
  </si>
  <si>
    <t>房产税（从价）</t>
  </si>
  <si>
    <t>期间</t>
  </si>
  <si>
    <t>房屋</t>
  </si>
  <si>
    <t>面积（平方米）</t>
  </si>
  <si>
    <t>原值</t>
  </si>
  <si>
    <t>计税比率</t>
  </si>
  <si>
    <t>税率</t>
  </si>
  <si>
    <t>金额</t>
  </si>
  <si>
    <r>
      <rPr>
        <sz val="10.5"/>
        <color rgb="FF333333"/>
        <rFont val="宋体"/>
        <charset val="134"/>
      </rPr>
      <t>减免税额</t>
    </r>
    <r>
      <rPr>
        <sz val="10.5"/>
        <color rgb="FF333333"/>
        <rFont val="Arial"/>
        <charset val="134"/>
      </rPr>
      <t>50%</t>
    </r>
  </si>
  <si>
    <t>1-2月从价</t>
  </si>
  <si>
    <r>
      <rPr>
        <sz val="10"/>
        <color theme="1"/>
        <rFont val="宋体"/>
        <charset val="134"/>
      </rPr>
      <t>养路征稽一层</t>
    </r>
    <r>
      <rPr>
        <sz val="10"/>
        <color theme="1"/>
        <rFont val="Times New Roman"/>
        <charset val="134"/>
      </rPr>
      <t>01</t>
    </r>
  </si>
  <si>
    <r>
      <rPr>
        <sz val="10"/>
        <color theme="1"/>
        <rFont val="宋体"/>
        <charset val="134"/>
      </rPr>
      <t>养路征稽一层</t>
    </r>
    <r>
      <rPr>
        <sz val="10"/>
        <color theme="1"/>
        <rFont val="Times New Roman"/>
        <charset val="0"/>
      </rPr>
      <t>02</t>
    </r>
  </si>
  <si>
    <r>
      <rPr>
        <sz val="10"/>
        <color theme="1"/>
        <rFont val="宋体"/>
        <charset val="134"/>
      </rPr>
      <t>养路征稽一层</t>
    </r>
    <r>
      <rPr>
        <sz val="10"/>
        <color indexed="8"/>
        <rFont val="Times New Roman"/>
        <charset val="0"/>
      </rPr>
      <t>03</t>
    </r>
  </si>
  <si>
    <t>养路征稽一层04-1</t>
  </si>
  <si>
    <r>
      <rPr>
        <sz val="10"/>
        <color theme="1"/>
        <rFont val="宋体"/>
        <charset val="134"/>
      </rPr>
      <t>养路征稽一层</t>
    </r>
    <r>
      <rPr>
        <sz val="10"/>
        <color theme="1"/>
        <rFont val="Times New Roman"/>
        <charset val="0"/>
      </rPr>
      <t>04-2</t>
    </r>
  </si>
  <si>
    <r>
      <rPr>
        <sz val="10"/>
        <color theme="1"/>
        <rFont val="宋体"/>
        <charset val="134"/>
      </rPr>
      <t>养路征稽一层</t>
    </r>
    <r>
      <rPr>
        <sz val="10"/>
        <color theme="1"/>
        <rFont val="Times New Roman"/>
        <charset val="0"/>
      </rPr>
      <t>05</t>
    </r>
  </si>
  <si>
    <r>
      <rPr>
        <sz val="10"/>
        <color theme="1"/>
        <rFont val="宋体"/>
        <charset val="134"/>
      </rPr>
      <t>养路征稽一层</t>
    </r>
    <r>
      <rPr>
        <sz val="10"/>
        <color theme="1"/>
        <rFont val="Times New Roman"/>
        <charset val="0"/>
      </rPr>
      <t>06</t>
    </r>
  </si>
  <si>
    <r>
      <rPr>
        <sz val="10"/>
        <color theme="1"/>
        <rFont val="宋体"/>
        <charset val="134"/>
      </rPr>
      <t>养路征稽一层</t>
    </r>
    <r>
      <rPr>
        <sz val="10"/>
        <color theme="1"/>
        <rFont val="Times New Roman"/>
        <charset val="0"/>
      </rPr>
      <t>06-1</t>
    </r>
  </si>
  <si>
    <t>1-6月从价</t>
  </si>
  <si>
    <r>
      <rPr>
        <sz val="10"/>
        <color rgb="FF000000"/>
        <rFont val="宋体"/>
        <charset val="134"/>
      </rPr>
      <t>养路征稽一层</t>
    </r>
    <r>
      <rPr>
        <sz val="10"/>
        <color rgb="FF000000"/>
        <rFont val="Times New Roman"/>
        <charset val="134"/>
      </rPr>
      <t>07+08</t>
    </r>
  </si>
  <si>
    <r>
      <rPr>
        <sz val="10"/>
        <color rgb="FF000000"/>
        <rFont val="宋体"/>
        <charset val="134"/>
      </rPr>
      <t>养路征稽二层</t>
    </r>
    <r>
      <rPr>
        <sz val="10"/>
        <color indexed="8"/>
        <rFont val="Times New Roman"/>
        <charset val="0"/>
      </rPr>
      <t>01</t>
    </r>
  </si>
  <si>
    <t>合计</t>
  </si>
  <si>
    <t>房产税（从租）</t>
  </si>
  <si>
    <t>收入</t>
  </si>
  <si>
    <t>3月从租</t>
  </si>
  <si>
    <r>
      <rPr>
        <sz val="10"/>
        <color theme="1"/>
        <rFont val="宋体"/>
        <charset val="134"/>
      </rPr>
      <t>养路征稽一层</t>
    </r>
    <r>
      <rPr>
        <sz val="10"/>
        <color theme="1"/>
        <rFont val="Times New Roman"/>
        <charset val="0"/>
      </rPr>
      <t>01</t>
    </r>
  </si>
  <si>
    <t>2024年收到</t>
  </si>
  <si>
    <t>商品房期初结转成本</t>
  </si>
  <si>
    <t>总建筑面积</t>
  </si>
  <si>
    <t>房屋建筑面积</t>
  </si>
  <si>
    <t>通达商贸城房产税</t>
  </si>
  <si>
    <r>
      <rPr>
        <sz val="11"/>
        <color rgb="FF333333"/>
        <rFont val="宋体"/>
        <charset val="134"/>
      </rPr>
      <t>减免税额</t>
    </r>
    <r>
      <rPr>
        <sz val="11"/>
        <color rgb="FF333333"/>
        <rFont val="Arial"/>
        <charset val="134"/>
      </rPr>
      <t>50%</t>
    </r>
  </si>
  <si>
    <t>4-6月从价</t>
  </si>
  <si>
    <t>刘坤</t>
  </si>
  <si>
    <t>马立琴</t>
  </si>
  <si>
    <t>方小羊</t>
  </si>
  <si>
    <t>面积</t>
  </si>
  <si>
    <t>征稽大厦土地使用税</t>
  </si>
  <si>
    <t>土地占用面积</t>
  </si>
  <si>
    <t>土地等级：一级</t>
  </si>
  <si>
    <t>所属期起至</t>
  </si>
  <si>
    <r>
      <rPr>
        <sz val="10.5"/>
        <color rgb="FF333333"/>
        <rFont val="MicroSoft YaHei"/>
        <charset val="134"/>
      </rPr>
      <t>计税依据</t>
    </r>
  </si>
  <si>
    <t>二层</t>
  </si>
  <si>
    <t>14元每平方米</t>
  </si>
  <si>
    <t>2024/1/1-2024/6/30</t>
  </si>
  <si>
    <t>一层</t>
  </si>
  <si>
    <t>通达商贸城土地使用税</t>
  </si>
  <si>
    <t>一栋</t>
  </si>
  <si>
    <t>8元每平方米</t>
  </si>
  <si>
    <t>备注：小规模纳税人房产税减半征收</t>
  </si>
  <si>
    <t>增值税小规模纳税人已依法享受资源税、城市维护建设税、房产税、城镇土地使用税、印花税、耕地占用税、教育费附加、地方教育附加其他优惠政策</t>
  </si>
  <si>
    <r>
      <rPr>
        <sz val="12"/>
        <color rgb="FF333333"/>
        <rFont val="Arial"/>
        <charset val="134"/>
      </rPr>
      <t>按照50%幅度顶格减征”六税两费“〔资源</t>
    </r>
    <r>
      <rPr>
        <sz val="12"/>
        <color rgb="FF333333"/>
        <rFont val="Arial"/>
        <charset val="134"/>
      </rPr>
      <t>税、城市维护建设税、</t>
    </r>
    <r>
      <rPr>
        <sz val="12"/>
        <color rgb="FF333333"/>
        <rFont val="Arial"/>
        <charset val="134"/>
      </rPr>
      <t>房产税、城镇土地使用税、印花税(不含证券交易印花税)、耕地占用税和教育费附加、地方</t>
    </r>
    <r>
      <rPr>
        <sz val="12"/>
        <color rgb="FF333333"/>
        <rFont val="Arial"/>
        <charset val="134"/>
      </rPr>
      <t>教育附加〕</t>
    </r>
  </si>
  <si>
    <t>养征大厦</t>
  </si>
  <si>
    <t>序号</t>
  </si>
  <si>
    <t>单位名称</t>
  </si>
  <si>
    <t>房号</t>
  </si>
  <si>
    <r>
      <rPr>
        <sz val="10"/>
        <color rgb="FF000000"/>
        <rFont val="宋体"/>
        <charset val="134"/>
      </rPr>
      <t>出租面积</t>
    </r>
    <r>
      <rPr>
        <sz val="10"/>
        <color indexed="8"/>
        <rFont val="Times New Roman"/>
        <charset val="0"/>
      </rPr>
      <t>M2</t>
    </r>
  </si>
  <si>
    <t>产权面积</t>
  </si>
  <si>
    <t>租赁期限</t>
  </si>
  <si>
    <t>日租金</t>
  </si>
  <si>
    <t>2024年租金</t>
  </si>
  <si>
    <t>从价税率</t>
  </si>
  <si>
    <t>从租税率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</si>
  <si>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</si>
  <si>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</si>
  <si>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</si>
  <si>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</si>
  <si>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</si>
  <si>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</si>
  <si>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</si>
  <si>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</si>
  <si>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</si>
  <si>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</si>
  <si>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</si>
  <si>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</si>
  <si>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r>
      <rPr>
        <sz val="10"/>
        <color theme="1"/>
        <rFont val="宋体"/>
        <charset val="134"/>
      </rPr>
      <t>杨豆豆</t>
    </r>
    <r>
      <rPr>
        <sz val="10"/>
        <color theme="1"/>
        <rFont val="Times New Roman"/>
        <charset val="0"/>
      </rPr>
      <t>(</t>
    </r>
    <r>
      <rPr>
        <sz val="10"/>
        <color theme="1"/>
        <rFont val="宋体"/>
        <charset val="134"/>
      </rPr>
      <t>杨妮
牛之味丸子汤</t>
    </r>
    <r>
      <rPr>
        <sz val="10"/>
        <color theme="1"/>
        <rFont val="Times New Roman"/>
        <charset val="0"/>
      </rPr>
      <t>)</t>
    </r>
  </si>
  <si>
    <t>2023.6.30-2024.7.29</t>
  </si>
  <si>
    <r>
      <rPr>
        <sz val="10"/>
        <color theme="1"/>
        <rFont val="Times New Roman"/>
        <charset val="0"/>
      </rPr>
      <t>3.12</t>
    </r>
    <r>
      <rPr>
        <sz val="10"/>
        <color theme="1"/>
        <rFont val="宋体"/>
        <charset val="134"/>
      </rPr>
      <t>元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平方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日</t>
    </r>
  </si>
  <si>
    <t>郭兴辉（服装）</t>
  </si>
  <si>
    <t>2023.7.20-2024.8.19</t>
  </si>
  <si>
    <r>
      <rPr>
        <sz val="10"/>
        <color theme="1"/>
        <rFont val="Times New Roman"/>
        <charset val="0"/>
      </rPr>
      <t>3.33</t>
    </r>
    <r>
      <rPr>
        <sz val="10"/>
        <color theme="1"/>
        <rFont val="宋体"/>
        <charset val="134"/>
      </rPr>
      <t>元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平方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日</t>
    </r>
  </si>
  <si>
    <t>王春霞</t>
  </si>
  <si>
    <t>2024.1.1-2026.12.31</t>
  </si>
  <si>
    <r>
      <rPr>
        <sz val="10"/>
        <color theme="1"/>
        <rFont val="Times New Roman"/>
        <charset val="0"/>
      </rPr>
      <t>2..26</t>
    </r>
    <r>
      <rPr>
        <sz val="10"/>
        <color indexed="8"/>
        <rFont val="宋体"/>
        <charset val="134"/>
      </rPr>
      <t>元</t>
    </r>
    <r>
      <rPr>
        <sz val="10"/>
        <color theme="1"/>
        <rFont val="Times New Roman"/>
        <charset val="0"/>
      </rPr>
      <t>/</t>
    </r>
    <r>
      <rPr>
        <sz val="10"/>
        <color indexed="8"/>
        <rFont val="宋体"/>
        <charset val="134"/>
      </rPr>
      <t>平方</t>
    </r>
    <r>
      <rPr>
        <sz val="10"/>
        <color theme="1"/>
        <rFont val="Times New Roman"/>
        <charset val="0"/>
      </rPr>
      <t>/</t>
    </r>
    <r>
      <rPr>
        <sz val="10"/>
        <color indexed="8"/>
        <rFont val="宋体"/>
        <charset val="134"/>
      </rPr>
      <t>日</t>
    </r>
  </si>
  <si>
    <t>郭少鹏</t>
  </si>
  <si>
    <t>2024.4.15-2025.5.5</t>
  </si>
  <si>
    <r>
      <rPr>
        <sz val="10"/>
        <color theme="1"/>
        <rFont val="Times New Roman"/>
        <charset val="0"/>
      </rPr>
      <t>3.036</t>
    </r>
    <r>
      <rPr>
        <sz val="10"/>
        <color indexed="8"/>
        <rFont val="宋体"/>
        <charset val="134"/>
      </rPr>
      <t>元</t>
    </r>
    <r>
      <rPr>
        <sz val="10"/>
        <color theme="1"/>
        <rFont val="Times New Roman"/>
        <charset val="0"/>
      </rPr>
      <t>/</t>
    </r>
    <r>
      <rPr>
        <sz val="10"/>
        <color indexed="8"/>
        <rFont val="宋体"/>
        <charset val="134"/>
      </rPr>
      <t>平方</t>
    </r>
    <r>
      <rPr>
        <sz val="10"/>
        <color theme="1"/>
        <rFont val="Times New Roman"/>
        <charset val="0"/>
      </rPr>
      <t>/</t>
    </r>
    <r>
      <rPr>
        <sz val="10"/>
        <color indexed="8"/>
        <rFont val="宋体"/>
        <charset val="134"/>
      </rPr>
      <t>日</t>
    </r>
  </si>
  <si>
    <t>汪玉明</t>
  </si>
  <si>
    <r>
      <rPr>
        <sz val="10"/>
        <color theme="1"/>
        <rFont val="宋体"/>
        <charset val="134"/>
      </rPr>
      <t>养路征稽一层</t>
    </r>
    <r>
      <rPr>
        <sz val="10"/>
        <color indexed="8"/>
        <rFont val="Times New Roman"/>
        <charset val="0"/>
      </rPr>
      <t>04-2</t>
    </r>
  </si>
  <si>
    <t>2023.5.1-2024.4.30</t>
  </si>
  <si>
    <r>
      <rPr>
        <sz val="10"/>
        <color theme="1"/>
        <rFont val="Times New Roman"/>
        <charset val="0"/>
      </rPr>
      <t>3.39</t>
    </r>
    <r>
      <rPr>
        <sz val="10"/>
        <color theme="1"/>
        <rFont val="宋体"/>
        <charset val="134"/>
      </rPr>
      <t>元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平方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日</t>
    </r>
  </si>
  <si>
    <t>牛欢</t>
  </si>
  <si>
    <t>2023.4.11-2024.5.1</t>
  </si>
  <si>
    <r>
      <rPr>
        <sz val="10"/>
        <color theme="1"/>
        <rFont val="Times New Roman"/>
        <charset val="0"/>
      </rPr>
      <t>3.36</t>
    </r>
    <r>
      <rPr>
        <sz val="10"/>
        <color theme="1"/>
        <rFont val="宋体"/>
        <charset val="134"/>
      </rPr>
      <t>元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平方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日</t>
    </r>
  </si>
  <si>
    <t>李雪琴</t>
  </si>
  <si>
    <r>
      <rPr>
        <sz val="10"/>
        <color theme="1"/>
        <rFont val="Times New Roman"/>
        <charset val="0"/>
      </rPr>
      <t>2023-5-30</t>
    </r>
    <r>
      <rPr>
        <sz val="10"/>
        <color theme="1"/>
        <rFont val="宋体"/>
        <charset val="134"/>
      </rPr>
      <t>-</t>
    </r>
    <r>
      <rPr>
        <sz val="10"/>
        <color theme="1"/>
        <rFont val="Times New Roman"/>
        <charset val="0"/>
      </rPr>
      <t>2024-6-29</t>
    </r>
  </si>
  <si>
    <r>
      <rPr>
        <sz val="10"/>
        <color theme="1"/>
        <rFont val="Times New Roman"/>
        <charset val="0"/>
      </rPr>
      <t>4.059</t>
    </r>
    <r>
      <rPr>
        <sz val="10"/>
        <color theme="1"/>
        <rFont val="宋体"/>
        <charset val="134"/>
      </rPr>
      <t>元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平方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日</t>
    </r>
  </si>
  <si>
    <t>黄艳华</t>
  </si>
  <si>
    <t>2023-5-29-2024-6-29</t>
  </si>
  <si>
    <r>
      <rPr>
        <sz val="10"/>
        <color theme="1"/>
        <rFont val="Times New Roman"/>
        <charset val="0"/>
      </rPr>
      <t>2.99</t>
    </r>
    <r>
      <rPr>
        <sz val="10"/>
        <color theme="1"/>
        <rFont val="宋体"/>
        <charset val="134"/>
      </rPr>
      <t>元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平方</t>
    </r>
    <r>
      <rPr>
        <sz val="10"/>
        <color theme="1"/>
        <rFont val="Times New Roman"/>
        <charset val="0"/>
      </rPr>
      <t>/</t>
    </r>
    <r>
      <rPr>
        <sz val="10"/>
        <color theme="1"/>
        <rFont val="宋体"/>
        <charset val="134"/>
      </rPr>
      <t>日</t>
    </r>
  </si>
  <si>
    <t>王婆大虾</t>
  </si>
  <si>
    <t>2023.12.1-2024.11.30</t>
  </si>
  <si>
    <r>
      <rPr>
        <sz val="10"/>
        <color rgb="FF000000"/>
        <rFont val="Times New Roman"/>
        <charset val="0"/>
      </rPr>
      <t>2.3</t>
    </r>
    <r>
      <rPr>
        <sz val="10"/>
        <color indexed="8"/>
        <rFont val="宋体"/>
        <charset val="134"/>
      </rPr>
      <t>元</t>
    </r>
    <r>
      <rPr>
        <sz val="10"/>
        <color rgb="FF000000"/>
        <rFont val="Times New Roman"/>
        <charset val="0"/>
      </rPr>
      <t>/</t>
    </r>
    <r>
      <rPr>
        <sz val="10"/>
        <color indexed="8"/>
        <rFont val="宋体"/>
        <charset val="134"/>
      </rPr>
      <t>平方</t>
    </r>
    <r>
      <rPr>
        <sz val="10"/>
        <color rgb="FF000000"/>
        <rFont val="Times New Roman"/>
        <charset val="0"/>
      </rPr>
      <t>/</t>
    </r>
    <r>
      <rPr>
        <sz val="10"/>
        <color indexed="8"/>
        <rFont val="宋体"/>
        <charset val="134"/>
      </rPr>
      <t>日</t>
    </r>
    <r>
      <rPr>
        <sz val="10"/>
        <color rgb="FF000000"/>
        <rFont val="Times New Roman"/>
        <charset val="0"/>
      </rPr>
      <t>2018</t>
    </r>
    <r>
      <rPr>
        <sz val="10"/>
        <color indexed="8"/>
        <rFont val="宋体"/>
        <charset val="134"/>
      </rPr>
      <t>年南总和于姐谈一年</t>
    </r>
    <r>
      <rPr>
        <sz val="10"/>
        <color rgb="FF000000"/>
        <rFont val="Times New Roman"/>
        <charset val="0"/>
      </rPr>
      <t>50</t>
    </r>
    <r>
      <rPr>
        <sz val="10"/>
        <color indexed="8"/>
        <rFont val="宋体"/>
        <charset val="134"/>
      </rPr>
      <t>万</t>
    </r>
  </si>
  <si>
    <t>川风堂</t>
  </si>
  <si>
    <t>2022.9.20-2023.9.19</t>
  </si>
  <si>
    <t>吴隆坤</t>
  </si>
  <si>
    <t>养路征稽一层</t>
  </si>
  <si>
    <t>2023.6.1-2024.6.30</t>
  </si>
  <si>
    <t>通达商贸城</t>
  </si>
  <si>
    <r>
      <rPr>
        <sz val="10"/>
        <rFont val="宋体"/>
        <charset val="134"/>
      </rPr>
      <t>出租面积</t>
    </r>
    <r>
      <rPr>
        <sz val="10"/>
        <rFont val="Times New Roman"/>
        <charset val="0"/>
      </rPr>
      <t>M2</t>
    </r>
  </si>
  <si>
    <t>养生馆</t>
  </si>
  <si>
    <t>1-31#</t>
  </si>
  <si>
    <t>2023.5.11-2024.6.10</t>
  </si>
  <si>
    <t>金大碗牛肉面</t>
  </si>
  <si>
    <t>1-1#</t>
  </si>
  <si>
    <t>2023.8.17-2024.9.16</t>
  </si>
  <si>
    <t>烟酒商行</t>
  </si>
  <si>
    <t>1-2#-1</t>
  </si>
  <si>
    <t>2023.7.29-2024.8.28</t>
  </si>
  <si>
    <t>蛋糕店</t>
  </si>
  <si>
    <t>1-2#-2</t>
  </si>
  <si>
    <t>2023.7.28-2024.8.27</t>
  </si>
  <si>
    <t>超市</t>
  </si>
  <si>
    <t>1-3#</t>
  </si>
  <si>
    <t>2024.3.30-2025.4.1</t>
  </si>
  <si>
    <t>商店</t>
  </si>
  <si>
    <t>1-4#</t>
  </si>
  <si>
    <t>2023.12.4-2024.12.3</t>
  </si>
  <si>
    <t>营业厅</t>
  </si>
  <si>
    <t>1-5#</t>
  </si>
  <si>
    <t>1-6#</t>
  </si>
  <si>
    <t>2024.2.22-2025.3.21</t>
  </si>
  <si>
    <t>百乐泉</t>
  </si>
  <si>
    <t>1-7#</t>
  </si>
  <si>
    <t>2024.4.9-2025.5.8</t>
  </si>
  <si>
    <t>理发店</t>
  </si>
  <si>
    <t>1-8#</t>
  </si>
  <si>
    <t>2023.5.28-2024.6.27</t>
  </si>
  <si>
    <t>锦绣商行</t>
  </si>
  <si>
    <t>1-9#</t>
  </si>
  <si>
    <t>2023.3.9-2024.4.10</t>
  </si>
  <si>
    <t>烧烤店</t>
  </si>
  <si>
    <t>1-10#-12#</t>
  </si>
  <si>
    <t>2023.9.13-2024.10.12</t>
  </si>
  <si>
    <t>美发</t>
  </si>
  <si>
    <t xml:space="preserve">  1-13#</t>
  </si>
  <si>
    <t>2024.5.4-2025.6.3</t>
  </si>
  <si>
    <t>棋牌室</t>
  </si>
  <si>
    <t>1-14#</t>
  </si>
  <si>
    <t>2023.11.10-2024.11.9</t>
  </si>
  <si>
    <t>打字复印</t>
  </si>
  <si>
    <t>1-20#</t>
  </si>
  <si>
    <t>2023.11.30-2024.11.29</t>
  </si>
  <si>
    <t>美容院</t>
  </si>
  <si>
    <t xml:space="preserve">  1-19#</t>
  </si>
  <si>
    <t>2023.8.1-2024.7.30</t>
  </si>
  <si>
    <t>早餐</t>
  </si>
  <si>
    <t>1-22#</t>
  </si>
  <si>
    <t>2023.11.20-2024.11.19</t>
  </si>
  <si>
    <t>体彩</t>
  </si>
  <si>
    <t>1-23#</t>
  </si>
  <si>
    <t>1-24#</t>
  </si>
  <si>
    <t>2023.10.17-2024.11.16</t>
  </si>
  <si>
    <t>餐饮</t>
  </si>
  <si>
    <t>1-25#</t>
  </si>
  <si>
    <t>2024.6.22-2025.6.21</t>
  </si>
  <si>
    <t>1-26#</t>
  </si>
  <si>
    <t>1-27#.28#</t>
  </si>
  <si>
    <t>2023.12.7-2024.12.6</t>
  </si>
  <si>
    <t>福彩</t>
  </si>
  <si>
    <t>1-29#</t>
  </si>
  <si>
    <t>2023.8.27-2024.9.28</t>
  </si>
  <si>
    <t>1-30#</t>
  </si>
  <si>
    <t>2023.2.14-2024.2.13</t>
  </si>
  <si>
    <t>日用品</t>
  </si>
  <si>
    <t>1-32#</t>
  </si>
  <si>
    <t>2023.5.22-2024.6.21</t>
  </si>
  <si>
    <t>一楼右厅</t>
  </si>
  <si>
    <t>2023.11.22-2024.11.21</t>
  </si>
  <si>
    <t>2节柜台</t>
  </si>
  <si>
    <t>一楼左厅门口</t>
  </si>
  <si>
    <t>北京养生馆</t>
  </si>
  <si>
    <t>二楼05</t>
  </si>
  <si>
    <t>2024.4.30-2025.5.29</t>
  </si>
  <si>
    <t>二楼04</t>
  </si>
  <si>
    <t>2024.2.20-2025.2.19</t>
  </si>
  <si>
    <t>二楼03</t>
  </si>
  <si>
    <t>二楼02</t>
  </si>
  <si>
    <t>二楼01</t>
  </si>
  <si>
    <t>2023.11.10-2024.12.9</t>
  </si>
  <si>
    <t>三楼</t>
  </si>
  <si>
    <t>2024.7.11-2025.7.10</t>
  </si>
  <si>
    <t>地下室</t>
  </si>
  <si>
    <t>新疆通力房地产开发有限公司应交税费明细表</t>
  </si>
  <si>
    <t>2026.4.7</t>
  </si>
  <si>
    <t>税目名称</t>
  </si>
  <si>
    <t>计税依据</t>
  </si>
  <si>
    <t>应缴税金</t>
  </si>
  <si>
    <t>实缴</t>
  </si>
  <si>
    <t>备注</t>
  </si>
  <si>
    <t>增值税</t>
  </si>
  <si>
    <t>2026.1-3月</t>
  </si>
  <si>
    <t>城建税</t>
  </si>
  <si>
    <t>增值税小规模纳税人
“六税两费”减征政
策,减按50%征收</t>
  </si>
  <si>
    <t>教育费附加</t>
  </si>
  <si>
    <t>地方教育费附加</t>
  </si>
  <si>
    <t>房产税（养征从租）</t>
  </si>
  <si>
    <t>2026.3月-6月</t>
  </si>
  <si>
    <t>房产税（通达从租）</t>
  </si>
  <si>
    <t>房产税（养征从价）</t>
  </si>
  <si>
    <t>2026.1-6月</t>
  </si>
  <si>
    <t>房产税（通达从价）</t>
  </si>
  <si>
    <t>印花税（租赁）</t>
  </si>
  <si>
    <t>企业所得税</t>
  </si>
  <si>
    <t>工会经费</t>
  </si>
  <si>
    <t>城镇土地使用税</t>
  </si>
  <si>
    <t xml:space="preserve">合计 </t>
  </si>
  <si>
    <t>其他业务收入</t>
  </si>
  <si>
    <t>营业外收入</t>
  </si>
  <si>
    <t>税金及附加</t>
  </si>
  <si>
    <t>管理费用</t>
  </si>
  <si>
    <t>财务费用</t>
  </si>
  <si>
    <t>营业外支出</t>
  </si>
  <si>
    <t>利润总额</t>
  </si>
  <si>
    <t>弥补以前年度亏损</t>
  </si>
  <si>
    <t>所得税费用</t>
  </si>
  <si>
    <t>应纳税所得额</t>
  </si>
  <si>
    <t>应纳税额</t>
  </si>
  <si>
    <r>
      <rPr>
        <sz val="8"/>
        <color rgb="FF333333"/>
        <rFont val="宋体"/>
        <charset val="134"/>
      </rPr>
      <t>减免税额</t>
    </r>
    <r>
      <rPr>
        <sz val="8"/>
        <color rgb="FF333333"/>
        <rFont val="Arial"/>
        <charset val="134"/>
      </rPr>
      <t>50%</t>
    </r>
  </si>
  <si>
    <t>2025.7.1-2026.3.31</t>
  </si>
  <si>
    <t>通力房产3月应交房产税明细</t>
  </si>
  <si>
    <t>合同编号</t>
  </si>
  <si>
    <t>房产税税源编号</t>
  </si>
  <si>
    <t>房源名称</t>
  </si>
  <si>
    <t>租赁面积</t>
  </si>
  <si>
    <t>租户名称</t>
  </si>
  <si>
    <t>签署日期</t>
  </si>
  <si>
    <t>合同期间起</t>
  </si>
  <si>
    <t>合同期间止</t>
  </si>
  <si>
    <t>租期</t>
  </si>
  <si>
    <t>租金总额</t>
  </si>
  <si>
    <t>已收租金</t>
  </si>
  <si>
    <t>未收租金</t>
  </si>
  <si>
    <t>税金</t>
  </si>
  <si>
    <t>月计税依据</t>
  </si>
  <si>
    <t>月从租房产税</t>
  </si>
  <si>
    <t>11月从租房产税缴纳明细</t>
  </si>
  <si>
    <t>12月从租房产税缴纳明细</t>
  </si>
  <si>
    <t>2026年1月从租房产税缴纳明细</t>
  </si>
  <si>
    <t>2026年2从租房产税缴纳明细</t>
  </si>
  <si>
    <t>2026年3从租房产税缴纳明细</t>
  </si>
  <si>
    <t>2025年</t>
  </si>
  <si>
    <t>2026年</t>
  </si>
  <si>
    <t>增值税（2025年5%）</t>
  </si>
  <si>
    <t>增值税2026年3%）</t>
  </si>
  <si>
    <t>城市维护建设税</t>
  </si>
  <si>
    <t>地方教育费</t>
  </si>
  <si>
    <t>印花税</t>
  </si>
  <si>
    <t>应交税额</t>
  </si>
  <si>
    <t>税收优惠比例</t>
  </si>
  <si>
    <t>实缴税金</t>
  </si>
  <si>
    <t>HT20210629-01-01-01-01</t>
  </si>
  <si>
    <t>F65280120240010806</t>
  </si>
  <si>
    <t>养征大厦1层-01#</t>
  </si>
  <si>
    <t>杨豆豆</t>
  </si>
  <si>
    <t>2025-06-18</t>
  </si>
  <si>
    <t>HT20210720-01-01-01-01</t>
  </si>
  <si>
    <t>F65280120240010312</t>
  </si>
  <si>
    <t>养征大厦1层-02#</t>
  </si>
  <si>
    <t>郭兴辉</t>
  </si>
  <si>
    <t>HT20251222</t>
  </si>
  <si>
    <t>F65280120240010628</t>
  </si>
  <si>
    <t>养征大厦1层-03#</t>
  </si>
  <si>
    <t>2025-12-19</t>
  </si>
  <si>
    <t>HT20250501</t>
  </si>
  <si>
    <t>F65280120240020391</t>
  </si>
  <si>
    <t>养征大厦1层-04#</t>
  </si>
  <si>
    <t>马润韬</t>
  </si>
  <si>
    <t>2025-04-17</t>
  </si>
  <si>
    <t>HT202412113-01</t>
  </si>
  <si>
    <t>F65280120250010895</t>
  </si>
  <si>
    <t>通达商贸城1层-32#</t>
  </si>
  <si>
    <t>杜延克</t>
  </si>
  <si>
    <t>2025-11-13</t>
  </si>
  <si>
    <t>HT20241128-01</t>
  </si>
  <si>
    <t>F65280120250000179</t>
  </si>
  <si>
    <t>通达商贸城1层-21#</t>
  </si>
  <si>
    <t>赵勇</t>
  </si>
  <si>
    <t>2025-10-28</t>
  </si>
  <si>
    <t>10月已全额结转</t>
  </si>
  <si>
    <t>HT20241115-01</t>
  </si>
  <si>
    <t>F65280120250000482</t>
  </si>
  <si>
    <t>通达商贸城1层-23#</t>
  </si>
  <si>
    <t>周翔</t>
  </si>
  <si>
    <t>2025-11-06</t>
  </si>
  <si>
    <t>HT20241113-01</t>
  </si>
  <si>
    <t>F65280120250000677</t>
  </si>
  <si>
    <t>通达商贸城1层-25#</t>
  </si>
  <si>
    <t>秦东玉</t>
  </si>
  <si>
    <t>HT20251205</t>
  </si>
  <si>
    <t>F65280120250010588</t>
  </si>
  <si>
    <t>通达商贸城1层-28#</t>
  </si>
  <si>
    <t>李记叶</t>
  </si>
  <si>
    <t>2025-12-05</t>
  </si>
  <si>
    <t>HT20241127-01</t>
  </si>
  <si>
    <t>F65280120250000973</t>
  </si>
  <si>
    <t>通达商贸城1层-33#</t>
  </si>
  <si>
    <t>艾买提·牙合莆</t>
  </si>
  <si>
    <t>2025-10-15</t>
  </si>
  <si>
    <t>HT20241216-01</t>
  </si>
  <si>
    <t>F65280120240019843</t>
  </si>
  <si>
    <t>通达商贸城2层-06#</t>
  </si>
  <si>
    <t>HT20250317-01</t>
  </si>
  <si>
    <t>F65280120240026055</t>
  </si>
  <si>
    <t>通达商贸城1层-4#</t>
  </si>
  <si>
    <t>赵霞</t>
  </si>
  <si>
    <t>2026-03-13</t>
  </si>
  <si>
    <t>HT20250226-01</t>
  </si>
  <si>
    <t>F65280120240020465</t>
  </si>
  <si>
    <t>通达商贸城1层-7#</t>
  </si>
  <si>
    <t>2026-03-05</t>
  </si>
  <si>
    <t>HT202603165</t>
  </si>
  <si>
    <t>F65280120240020844</t>
  </si>
  <si>
    <t>通达商贸城2层-2#</t>
  </si>
  <si>
    <t>2026-03-16</t>
  </si>
  <si>
    <t>HT20260316</t>
  </si>
  <si>
    <t>通达商贸城2层-3#</t>
  </si>
  <si>
    <t>曾小燕</t>
  </si>
  <si>
    <t>注：1、上表中房产税月计税依据均按照合同总租金计算，另：月计税依据等于月结转收入金额。</t>
  </si>
  <si>
    <t>本月实际结转</t>
  </si>
  <si>
    <t>1-6月应计提</t>
  </si>
  <si>
    <t>其中：</t>
  </si>
  <si>
    <t>商贸城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</si>
</sst>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.00_ "/>
    <numFmt numFmtId="178" formatCode="yyyy\/m\/d"/>
    <numFmt numFmtId="179" formatCode="0.0%"/>
    <numFmt numFmtId="180" formatCode="_ * #,##0.00_ ;_ * \-#,##0.00_ ;_ * \-??_ ;_ @_ "/>
    <numFmt numFmtId="181" formatCode="0.00;[Red]0.00"/>
    <numFmt numFmtId="182" formatCode="_ * #,##0.0000_ ;_ * \-#,##0.0000_ ;_ * &quot;-&quot;??.00_ ;_ @_ "/>
    <numFmt numFmtId="183" formatCode="0.00_ "/>
    <numFmt numFmtId="184" formatCode="#,##0.000_ "/>
  </numFmts>
  <fonts count="70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8"/>
      <color rgb="FF000000"/>
      <name val="微软雅黑"/>
      <charset val="134"/>
    </font>
    <font>
      <sz val="10"/>
      <color rgb="FF000000"/>
      <name val="微软雅黑"/>
      <charset val="134"/>
    </font>
    <font>
      <sz val="10"/>
      <color indexed="8"/>
      <name val="宋体"/>
      <charset val="134"/>
      <scheme val="minor"/>
    </font>
    <font>
      <b/>
      <sz val="14"/>
      <color indexed="8"/>
      <name val="宋体"/>
      <charset val="1"/>
      <scheme val="minor"/>
    </font>
    <font>
      <b/>
      <sz val="11"/>
      <color indexed="8"/>
      <name val="宋体"/>
      <charset val="1"/>
      <scheme val="minor"/>
    </font>
    <font>
      <b/>
      <sz val="10"/>
      <color indexed="8"/>
      <name val="宋体"/>
      <charset val="1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"/>
    </font>
    <font>
      <sz val="11"/>
      <name val="宋体"/>
      <charset val="1"/>
    </font>
    <font>
      <b/>
      <sz val="18"/>
      <color indexed="8"/>
      <name val="宋体"/>
      <charset val="134"/>
      <scheme val="minor"/>
    </font>
    <font>
      <sz val="8"/>
      <color indexed="8"/>
      <name val="宋体"/>
      <charset val="134"/>
      <scheme val="minor"/>
    </font>
    <font>
      <sz val="8"/>
      <color rgb="FF333333"/>
      <name val="MicroSoft YaHei"/>
      <charset val="134"/>
    </font>
    <font>
      <sz val="8"/>
      <color rgb="FF333333"/>
      <name val="宋体"/>
      <charset val="134"/>
    </font>
    <font>
      <b/>
      <sz val="8"/>
      <color indexed="8"/>
      <name val="宋体"/>
      <charset val="134"/>
      <scheme val="minor"/>
    </font>
    <font>
      <sz val="8"/>
      <color rgb="FF666666"/>
      <name val="MicroSoft YaHei"/>
      <charset val="134"/>
    </font>
    <font>
      <b/>
      <sz val="14"/>
      <color indexed="8"/>
      <name val="宋体"/>
      <charset val="134"/>
      <scheme val="minor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color theme="1"/>
      <name val="Times New Roman"/>
      <charset val="0"/>
    </font>
    <font>
      <sz val="10"/>
      <color theme="1"/>
      <name val="宋体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color indexed="8"/>
      <name val="Times New Roman"/>
      <charset val="0"/>
    </font>
    <font>
      <sz val="10"/>
      <color rgb="FF000000"/>
      <name val="Times New Roman"/>
      <charset val="0"/>
    </font>
    <font>
      <sz val="10"/>
      <color rgb="FFFF0000"/>
      <name val="宋体"/>
      <charset val="134"/>
    </font>
    <font>
      <sz val="10"/>
      <name val="宋体"/>
      <charset val="134"/>
    </font>
    <font>
      <sz val="10"/>
      <name val="Times New Roman"/>
      <charset val="0"/>
    </font>
    <font>
      <sz val="10"/>
      <name val="黑体"/>
      <charset val="134"/>
    </font>
    <font>
      <sz val="10"/>
      <name val="宋体"/>
      <charset val="134"/>
      <scheme val="minor"/>
    </font>
    <font>
      <sz val="11"/>
      <name val="宋体"/>
      <charset val="134"/>
    </font>
    <font>
      <sz val="10.5"/>
      <color rgb="FF333333"/>
      <name val="宋体"/>
      <charset val="134"/>
    </font>
    <font>
      <sz val="10"/>
      <color theme="1"/>
      <name val="宋体"/>
      <charset val="134"/>
      <scheme val="minor"/>
    </font>
    <font>
      <sz val="8"/>
      <color rgb="FF000000"/>
      <name val="STSong-Light"/>
      <charset val="134"/>
    </font>
    <font>
      <sz val="10.5"/>
      <color rgb="FF333333"/>
      <name val="MicroSoft YaHei"/>
      <charset val="134"/>
    </font>
    <font>
      <sz val="11"/>
      <color rgb="FF333333"/>
      <name val="宋体"/>
      <charset val="134"/>
    </font>
    <font>
      <sz val="11"/>
      <color rgb="FF000000"/>
      <name val="STSong-Light"/>
      <charset val="134"/>
    </font>
    <font>
      <sz val="11"/>
      <color rgb="FF333333"/>
      <name val="MicroSoft YaHei"/>
      <charset val="134"/>
    </font>
    <font>
      <sz val="11"/>
      <color theme="1"/>
      <name val="宋体"/>
      <charset val="134"/>
      <scheme val="minor"/>
    </font>
    <font>
      <sz val="10.5"/>
      <color rgb="FF666666"/>
      <name val="MicroSoft YaHei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rgb="FF333333"/>
      <name val="Arial"/>
      <charset val="134"/>
    </font>
    <font>
      <sz val="11"/>
      <color rgb="FF333333"/>
      <name val="Arial"/>
      <charset val="134"/>
    </font>
    <font>
      <sz val="12"/>
      <color rgb="FF333333"/>
      <name val="Arial"/>
      <charset val="134"/>
    </font>
    <font>
      <sz val="10.5"/>
      <color rgb="FF333333"/>
      <name val="Arial"/>
      <charset val="134"/>
    </font>
    <font>
      <sz val="10"/>
      <color theme="1"/>
      <name val="Times New Roman"/>
      <charset val="134"/>
    </font>
    <font>
      <sz val="10"/>
      <color rgb="FF000000"/>
      <name val="Times New Roman"/>
      <charset val="134"/>
    </font>
    <font>
      <b/>
      <sz val="9"/>
      <name val="宋体"/>
      <charset val="134"/>
    </font>
    <font>
      <sz val="9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4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8"/>
      </top>
      <bottom/>
      <diagonal/>
    </border>
    <border>
      <left/>
      <right style="medium">
        <color rgb="FFDCDCDC"/>
      </right>
      <top style="medium">
        <color rgb="FFDCDCDC"/>
      </top>
      <bottom style="medium">
        <color rgb="FFDCDCDC"/>
      </bottom>
      <diagonal/>
    </border>
    <border>
      <left/>
      <right style="medium">
        <color rgb="FFD2D2D2"/>
      </right>
      <top/>
      <bottom style="medium">
        <color rgb="FFD2D2D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40" fillId="0" borderId="0" applyFont="0" applyFill="0" applyBorder="0" applyAlignment="0" applyProtection="0">
      <alignment vertical="center"/>
    </xf>
    <xf numFmtId="44" fontId="40" fillId="0" borderId="0" applyFont="0" applyFill="0" applyBorder="0" applyAlignment="0" applyProtection="0">
      <alignment vertical="center"/>
    </xf>
    <xf numFmtId="9" fontId="40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2" fontId="40" fillId="0" borderId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0" fillId="9" borderId="33" applyNumberFormat="0" applyFon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34" applyNumberFormat="0" applyFill="0" applyAlignment="0" applyProtection="0">
      <alignment vertical="center"/>
    </xf>
    <xf numFmtId="0" fontId="49" fillId="0" borderId="34" applyNumberFormat="0" applyFill="0" applyAlignment="0" applyProtection="0">
      <alignment vertical="center"/>
    </xf>
    <xf numFmtId="0" fontId="50" fillId="0" borderId="35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10" borderId="36" applyNumberFormat="0" applyAlignment="0" applyProtection="0">
      <alignment vertical="center"/>
    </xf>
    <xf numFmtId="0" fontId="52" fillId="11" borderId="37" applyNumberFormat="0" applyAlignment="0" applyProtection="0">
      <alignment vertical="center"/>
    </xf>
    <xf numFmtId="0" fontId="53" fillId="11" borderId="36" applyNumberFormat="0" applyAlignment="0" applyProtection="0">
      <alignment vertical="center"/>
    </xf>
    <xf numFmtId="0" fontId="54" fillId="12" borderId="38" applyNumberFormat="0" applyAlignment="0" applyProtection="0">
      <alignment vertical="center"/>
    </xf>
    <xf numFmtId="0" fontId="55" fillId="0" borderId="39" applyNumberFormat="0" applyFill="0" applyAlignment="0" applyProtection="0">
      <alignment vertical="center"/>
    </xf>
    <xf numFmtId="0" fontId="56" fillId="0" borderId="40" applyNumberFormat="0" applyFill="0" applyAlignment="0" applyProtection="0">
      <alignment vertical="center"/>
    </xf>
    <xf numFmtId="0" fontId="57" fillId="13" borderId="0" applyNumberFormat="0" applyBorder="0" applyAlignment="0" applyProtection="0">
      <alignment vertical="center"/>
    </xf>
    <xf numFmtId="0" fontId="58" fillId="14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60" fillId="6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1" fillId="17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9" borderId="0" applyNumberFormat="0" applyBorder="0" applyAlignment="0" applyProtection="0">
      <alignment vertical="center"/>
    </xf>
    <xf numFmtId="0" fontId="61" fillId="20" borderId="0" applyNumberFormat="0" applyBorder="0" applyAlignment="0" applyProtection="0">
      <alignment vertical="center"/>
    </xf>
    <xf numFmtId="0" fontId="61" fillId="21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61" fillId="25" borderId="0" applyNumberFormat="0" applyBorder="0" applyAlignment="0" applyProtection="0">
      <alignment vertical="center"/>
    </xf>
    <xf numFmtId="0" fontId="60" fillId="26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1" fillId="28" borderId="0" applyNumberFormat="0" applyBorder="0" applyAlignment="0" applyProtection="0">
      <alignment vertical="center"/>
    </xf>
    <xf numFmtId="0" fontId="61" fillId="29" borderId="0" applyNumberFormat="0" applyBorder="0" applyAlignment="0" applyProtection="0">
      <alignment vertical="center"/>
    </xf>
    <xf numFmtId="0" fontId="60" fillId="30" borderId="0" applyNumberFormat="0" applyBorder="0" applyAlignment="0" applyProtection="0">
      <alignment vertical="center"/>
    </xf>
    <xf numFmtId="0" fontId="60" fillId="31" borderId="0" applyNumberFormat="0" applyBorder="0" applyAlignment="0" applyProtection="0">
      <alignment vertical="center"/>
    </xf>
    <xf numFmtId="0" fontId="61" fillId="32" borderId="0" applyNumberFormat="0" applyBorder="0" applyAlignment="0" applyProtection="0">
      <alignment vertical="center"/>
    </xf>
    <xf numFmtId="0" fontId="61" fillId="33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1" fillId="36" borderId="0" applyNumberFormat="0" applyBorder="0" applyAlignment="0" applyProtection="0">
      <alignment vertical="center"/>
    </xf>
    <xf numFmtId="0" fontId="61" fillId="37" borderId="0" applyNumberFormat="0" applyBorder="0" applyAlignment="0" applyProtection="0">
      <alignment vertical="center"/>
    </xf>
    <xf numFmtId="0" fontId="60" fillId="38" borderId="0" applyNumberFormat="0" applyBorder="0" applyAlignment="0" applyProtection="0">
      <alignment vertical="center"/>
    </xf>
    <xf numFmtId="0" fontId="10" fillId="0" borderId="0">
      <alignment vertical="top"/>
      <protection locked="0"/>
    </xf>
  </cellStyleXfs>
  <cellXfs count="300">
    <xf numFmtId="0" fontId="0" fillId="0" borderId="0" xfId="0" applyFont="1">
      <alignment vertical="center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 shrinkToFi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176" fontId="0" fillId="0" borderId="0" xfId="0" applyNumberFormat="1" applyFont="1" applyFill="1" applyBorder="1" applyAlignment="1">
      <alignment horizontal="center" vertical="center"/>
    </xf>
    <xf numFmtId="177" fontId="0" fillId="0" borderId="0" xfId="0" applyNumberFormat="1" applyFont="1" applyFill="1" applyBorder="1" applyAlignment="1">
      <alignment horizontal="center" vertical="center"/>
    </xf>
    <xf numFmtId="10" fontId="0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177" fontId="2" fillId="0" borderId="0" xfId="0" applyNumberFormat="1" applyFont="1" applyFill="1" applyBorder="1" applyAlignment="1">
      <alignment horizontal="center" vertical="center" wrapText="1"/>
    </xf>
    <xf numFmtId="10" fontId="2" fillId="0" borderId="0" xfId="0" applyNumberFormat="1" applyFont="1" applyFill="1" applyBorder="1" applyAlignment="1">
      <alignment horizontal="center" vertical="center" wrapText="1"/>
    </xf>
    <xf numFmtId="177" fontId="0" fillId="0" borderId="0" xfId="0" applyNumberFormat="1" applyFont="1" applyFill="1" applyBorder="1" applyAlignment="1">
      <alignment horizontal="center" vertical="center" wrapText="1"/>
    </xf>
    <xf numFmtId="10" fontId="0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177" fontId="3" fillId="0" borderId="3" xfId="0" applyNumberFormat="1" applyFont="1" applyFill="1" applyBorder="1" applyAlignment="1">
      <alignment horizontal="center" vertical="center" wrapText="1"/>
    </xf>
    <xf numFmtId="177" fontId="3" fillId="0" borderId="4" xfId="0" applyNumberFormat="1" applyFont="1" applyFill="1" applyBorder="1" applyAlignment="1">
      <alignment horizontal="center" vertical="center" wrapText="1"/>
    </xf>
    <xf numFmtId="177" fontId="3" fillId="0" borderId="5" xfId="0" applyNumberFormat="1" applyFont="1" applyFill="1" applyBorder="1" applyAlignment="1">
      <alignment horizontal="center" vertical="center" wrapText="1"/>
    </xf>
    <xf numFmtId="177" fontId="3" fillId="0" borderId="6" xfId="0" applyNumberFormat="1" applyFont="1" applyFill="1" applyBorder="1" applyAlignment="1">
      <alignment horizontal="center" vertical="center" wrapText="1"/>
    </xf>
    <xf numFmtId="177" fontId="3" fillId="0" borderId="7" xfId="0" applyNumberFormat="1" applyFont="1" applyFill="1" applyBorder="1" applyAlignment="1">
      <alignment horizontal="center" vertical="center" wrapText="1"/>
    </xf>
    <xf numFmtId="10" fontId="3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 shrinkToFi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left" vertical="center" wrapText="1"/>
    </xf>
    <xf numFmtId="176" fontId="3" fillId="0" borderId="8" xfId="0" applyNumberFormat="1" applyFont="1" applyFill="1" applyBorder="1" applyAlignment="1">
      <alignment horizontal="center" vertical="center" wrapText="1"/>
    </xf>
    <xf numFmtId="177" fontId="3" fillId="0" borderId="8" xfId="0" applyNumberFormat="1" applyFont="1" applyFill="1" applyBorder="1" applyAlignment="1">
      <alignment horizontal="center" vertical="center" wrapText="1"/>
    </xf>
    <xf numFmtId="177" fontId="3" fillId="0" borderId="8" xfId="0" applyNumberFormat="1" applyFont="1" applyFill="1" applyBorder="1" applyAlignment="1">
      <alignment vertical="center" wrapText="1"/>
    </xf>
    <xf numFmtId="177" fontId="3" fillId="0" borderId="9" xfId="0" applyNumberFormat="1" applyFont="1" applyFill="1" applyBorder="1" applyAlignment="1">
      <alignment horizontal="center" vertical="center" wrapText="1"/>
    </xf>
    <xf numFmtId="177" fontId="3" fillId="0" borderId="10" xfId="0" applyNumberFormat="1" applyFont="1" applyFill="1" applyBorder="1" applyAlignment="1">
      <alignment horizontal="center" vertical="center" wrapText="1"/>
    </xf>
    <xf numFmtId="177" fontId="3" fillId="0" borderId="11" xfId="0" applyNumberFormat="1" applyFont="1" applyFill="1" applyBorder="1" applyAlignment="1">
      <alignment horizontal="center" vertical="center" wrapText="1"/>
    </xf>
    <xf numFmtId="177" fontId="3" fillId="0" borderId="12" xfId="0" applyNumberFormat="1" applyFont="1" applyFill="1" applyBorder="1" applyAlignment="1">
      <alignment horizontal="center" vertical="center" wrapText="1"/>
    </xf>
    <xf numFmtId="177" fontId="0" fillId="0" borderId="7" xfId="0" applyNumberFormat="1" applyFont="1" applyFill="1" applyBorder="1" applyAlignment="1">
      <alignment horizontal="center" vertical="center" wrapText="1"/>
    </xf>
    <xf numFmtId="10" fontId="0" fillId="0" borderId="7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vertical="center" shrinkToFit="1"/>
    </xf>
    <xf numFmtId="0" fontId="3" fillId="0" borderId="13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left" vertical="center" wrapText="1"/>
    </xf>
    <xf numFmtId="14" fontId="3" fillId="0" borderId="13" xfId="0" applyNumberFormat="1" applyFont="1" applyFill="1" applyBorder="1" applyAlignment="1">
      <alignment horizontal="center" vertical="center" wrapText="1"/>
    </xf>
    <xf numFmtId="176" fontId="3" fillId="0" borderId="13" xfId="0" applyNumberFormat="1" applyFont="1" applyFill="1" applyBorder="1" applyAlignment="1">
      <alignment horizontal="center" vertical="center" wrapText="1"/>
    </xf>
    <xf numFmtId="177" fontId="3" fillId="0" borderId="13" xfId="0" applyNumberFormat="1" applyFont="1" applyFill="1" applyBorder="1" applyAlignment="1">
      <alignment horizontal="center" vertical="center" wrapText="1"/>
    </xf>
    <xf numFmtId="177" fontId="0" fillId="0" borderId="7" xfId="0" applyNumberFormat="1" applyFont="1" applyFill="1" applyBorder="1" applyAlignment="1">
      <alignment horizontal="center" vertical="center"/>
    </xf>
    <xf numFmtId="10" fontId="0" fillId="0" borderId="7" xfId="0" applyNumberFormat="1" applyFont="1" applyFill="1" applyBorder="1" applyAlignment="1">
      <alignment horizontal="center" vertical="center"/>
    </xf>
    <xf numFmtId="177" fontId="0" fillId="2" borderId="7" xfId="0" applyNumberFormat="1" applyFont="1" applyFill="1" applyBorder="1" applyAlignment="1">
      <alignment horizontal="center" vertical="center"/>
    </xf>
    <xf numFmtId="0" fontId="0" fillId="0" borderId="7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shrinkToFit="1"/>
    </xf>
    <xf numFmtId="0" fontId="3" fillId="0" borderId="1" xfId="0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77" fontId="3" fillId="0" borderId="14" xfId="0" applyNumberFormat="1" applyFont="1" applyFill="1" applyBorder="1" applyAlignment="1">
      <alignment horizontal="center" vertical="center" wrapText="1"/>
    </xf>
    <xf numFmtId="177" fontId="3" fillId="0" borderId="15" xfId="0" applyNumberFormat="1" applyFont="1" applyFill="1" applyBorder="1" applyAlignment="1">
      <alignment horizontal="center" vertical="center" wrapText="1"/>
    </xf>
    <xf numFmtId="10" fontId="3" fillId="0" borderId="15" xfId="0" applyNumberFormat="1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vertical="center" shrinkToFit="1"/>
    </xf>
    <xf numFmtId="0" fontId="3" fillId="2" borderId="15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vertical="center" wrapText="1"/>
    </xf>
    <xf numFmtId="178" fontId="3" fillId="2" borderId="13" xfId="0" applyNumberFormat="1" applyFont="1" applyFill="1" applyBorder="1" applyAlignment="1">
      <alignment vertical="center" wrapText="1"/>
    </xf>
    <xf numFmtId="14" fontId="3" fillId="2" borderId="13" xfId="0" applyNumberFormat="1" applyFont="1" applyFill="1" applyBorder="1" applyAlignment="1">
      <alignment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77" fontId="3" fillId="2" borderId="15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177" fontId="3" fillId="2" borderId="13" xfId="0" applyNumberFormat="1" applyFont="1" applyFill="1" applyBorder="1" applyAlignment="1">
      <alignment horizontal="center" vertical="center" wrapText="1"/>
    </xf>
    <xf numFmtId="10" fontId="3" fillId="2" borderId="15" xfId="0" applyNumberFormat="1" applyFont="1" applyFill="1" applyBorder="1" applyAlignment="1">
      <alignment horizontal="center" vertical="center" wrapText="1"/>
    </xf>
    <xf numFmtId="10" fontId="0" fillId="2" borderId="7" xfId="0" applyNumberFormat="1" applyFont="1" applyFill="1" applyBorder="1" applyAlignment="1">
      <alignment horizontal="center" vertical="center"/>
    </xf>
    <xf numFmtId="0" fontId="0" fillId="2" borderId="7" xfId="0" applyFont="1" applyFill="1" applyBorder="1" applyAlignment="1">
      <alignment vertical="center"/>
    </xf>
    <xf numFmtId="0" fontId="3" fillId="0" borderId="15" xfId="0" applyFont="1" applyFill="1" applyBorder="1" applyAlignment="1">
      <alignment vertical="center" shrinkToFit="1"/>
    </xf>
    <xf numFmtId="0" fontId="3" fillId="0" borderId="15" xfId="0" applyFont="1" applyFill="1" applyBorder="1" applyAlignment="1">
      <alignment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left" vertical="center" wrapText="1"/>
    </xf>
    <xf numFmtId="178" fontId="3" fillId="0" borderId="13" xfId="0" applyNumberFormat="1" applyFont="1" applyFill="1" applyBorder="1" applyAlignment="1">
      <alignment vertical="center" wrapText="1"/>
    </xf>
    <xf numFmtId="14" fontId="3" fillId="0" borderId="13" xfId="0" applyNumberFormat="1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shrinkToFit="1"/>
    </xf>
    <xf numFmtId="0" fontId="1" fillId="0" borderId="7" xfId="0" applyFont="1" applyFill="1" applyBorder="1" applyAlignment="1">
      <alignment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/>
    </xf>
    <xf numFmtId="176" fontId="1" fillId="0" borderId="7" xfId="0" applyNumberFormat="1" applyFont="1" applyFill="1" applyBorder="1" applyAlignment="1">
      <alignment horizontal="center" vertical="center"/>
    </xf>
    <xf numFmtId="177" fontId="1" fillId="0" borderId="7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177" fontId="1" fillId="0" borderId="0" xfId="0" applyNumberFormat="1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left" vertical="center" wrapText="1"/>
    </xf>
    <xf numFmtId="177" fontId="1" fillId="0" borderId="0" xfId="0" applyNumberFormat="1" applyFont="1" applyFill="1" applyBorder="1" applyAlignment="1">
      <alignment horizontal="left" vertical="center" wrapText="1"/>
    </xf>
    <xf numFmtId="177" fontId="0" fillId="0" borderId="0" xfId="0" applyNumberFormat="1" applyFont="1" applyFill="1" applyBorder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7" fillId="0" borderId="7" xfId="0" applyFont="1" applyFill="1" applyBorder="1" applyAlignment="1">
      <alignment vertical="center"/>
    </xf>
    <xf numFmtId="0" fontId="7" fillId="0" borderId="7" xfId="0" applyFont="1" applyFill="1" applyBorder="1" applyAlignment="1">
      <alignment horizontal="center" vertical="center"/>
    </xf>
    <xf numFmtId="177" fontId="7" fillId="0" borderId="7" xfId="0" applyNumberFormat="1" applyFont="1" applyFill="1" applyBorder="1" applyAlignment="1">
      <alignment horizontal="center" vertical="center"/>
    </xf>
    <xf numFmtId="9" fontId="7" fillId="0" borderId="7" xfId="3" applyFont="1" applyBorder="1" applyAlignment="1">
      <alignment horizontal="center" vertical="center"/>
    </xf>
    <xf numFmtId="43" fontId="8" fillId="0" borderId="7" xfId="0" applyNumberFormat="1" applyFont="1" applyBorder="1" applyAlignment="1">
      <alignment horizontal="center" vertical="center"/>
    </xf>
    <xf numFmtId="9" fontId="7" fillId="0" borderId="7" xfId="3" applyNumberFormat="1" applyFont="1" applyBorder="1" applyAlignment="1">
      <alignment horizontal="center" vertical="center"/>
    </xf>
    <xf numFmtId="177" fontId="7" fillId="0" borderId="7" xfId="0" applyNumberFormat="1" applyFont="1" applyFill="1" applyBorder="1" applyAlignment="1">
      <alignment vertical="center"/>
    </xf>
    <xf numFmtId="0" fontId="7" fillId="0" borderId="7" xfId="0" applyFont="1" applyFill="1" applyBorder="1" applyAlignment="1">
      <alignment vertical="center" wrapText="1"/>
    </xf>
    <xf numFmtId="4" fontId="4" fillId="0" borderId="0" xfId="0" applyNumberFormat="1" applyFont="1">
      <alignment vertical="center"/>
    </xf>
    <xf numFmtId="179" fontId="7" fillId="0" borderId="7" xfId="3" applyNumberFormat="1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7" xfId="3" applyNumberFormat="1" applyFont="1" applyFill="1" applyBorder="1" applyAlignment="1" applyProtection="1">
      <alignment horizontal="center" vertical="center"/>
    </xf>
    <xf numFmtId="43" fontId="7" fillId="0" borderId="7" xfId="0" applyNumberFormat="1" applyFont="1" applyFill="1" applyBorder="1" applyAlignment="1">
      <alignment horizontal="center" vertical="center"/>
    </xf>
    <xf numFmtId="10" fontId="7" fillId="0" borderId="7" xfId="3" applyNumberFormat="1" applyFont="1" applyBorder="1" applyAlignment="1">
      <alignment horizontal="center" vertical="center"/>
    </xf>
    <xf numFmtId="177" fontId="4" fillId="0" borderId="0" xfId="0" applyNumberFormat="1" applyFont="1">
      <alignment vertical="center"/>
    </xf>
    <xf numFmtId="43" fontId="4" fillId="0" borderId="0" xfId="0" applyNumberFormat="1" applyFont="1">
      <alignment vertical="center"/>
    </xf>
    <xf numFmtId="43" fontId="9" fillId="0" borderId="16" xfId="49" applyNumberFormat="1" applyFont="1" applyFill="1" applyBorder="1" applyAlignment="1" applyProtection="1">
      <protection locked="0"/>
    </xf>
    <xf numFmtId="43" fontId="10" fillId="0" borderId="16" xfId="49" applyNumberFormat="1" applyFont="1" applyFill="1" applyBorder="1" applyAlignment="1" applyProtection="1">
      <protection locked="0"/>
    </xf>
    <xf numFmtId="0" fontId="11" fillId="0" borderId="7" xfId="0" applyFont="1" applyBorder="1" applyAlignment="1">
      <alignment horizontal="center" vertical="center"/>
    </xf>
    <xf numFmtId="177" fontId="11" fillId="0" borderId="7" xfId="0" applyNumberFormat="1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177" fontId="12" fillId="0" borderId="17" xfId="0" applyNumberFormat="1" applyFont="1" applyBorder="1" applyAlignment="1">
      <alignment horizontal="center" vertical="center"/>
    </xf>
    <xf numFmtId="177" fontId="13" fillId="0" borderId="17" xfId="0" applyNumberFormat="1" applyFont="1" applyBorder="1" applyAlignment="1">
      <alignment horizontal="center" vertical="center"/>
    </xf>
    <xf numFmtId="177" fontId="14" fillId="0" borderId="17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177" fontId="12" fillId="0" borderId="7" xfId="0" applyNumberFormat="1" applyFont="1" applyBorder="1" applyAlignment="1">
      <alignment horizontal="center" vertical="center"/>
    </xf>
    <xf numFmtId="177" fontId="12" fillId="2" borderId="7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77" fontId="12" fillId="0" borderId="0" xfId="0" applyNumberFormat="1" applyFont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177" fontId="15" fillId="0" borderId="7" xfId="0" applyNumberFormat="1" applyFont="1" applyBorder="1" applyAlignment="1">
      <alignment horizontal="center" vertical="center"/>
    </xf>
    <xf numFmtId="177" fontId="13" fillId="0" borderId="7" xfId="0" applyNumberFormat="1" applyFont="1" applyBorder="1" applyAlignment="1">
      <alignment horizontal="center" vertical="center"/>
    </xf>
    <xf numFmtId="177" fontId="14" fillId="0" borderId="7" xfId="0" applyNumberFormat="1" applyFont="1" applyBorder="1" applyAlignment="1">
      <alignment horizontal="center" vertical="center"/>
    </xf>
    <xf numFmtId="177" fontId="16" fillId="3" borderId="7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43" fontId="0" fillId="0" borderId="0" xfId="0" applyNumberFormat="1" applyFont="1">
      <alignment vertical="center"/>
    </xf>
    <xf numFmtId="0" fontId="17" fillId="0" borderId="0" xfId="0" applyFont="1">
      <alignment vertical="center"/>
    </xf>
    <xf numFmtId="0" fontId="18" fillId="0" borderId="18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180" fontId="18" fillId="0" borderId="18" xfId="0" applyNumberFormat="1" applyFont="1" applyFill="1" applyBorder="1" applyAlignment="1">
      <alignment horizontal="center" vertical="center"/>
    </xf>
    <xf numFmtId="43" fontId="0" fillId="0" borderId="19" xfId="0" applyNumberFormat="1" applyFont="1" applyBorder="1" applyAlignment="1">
      <alignment horizontal="center" vertical="center"/>
    </xf>
    <xf numFmtId="43" fontId="0" fillId="0" borderId="20" xfId="0" applyNumberFormat="1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20" fillId="0" borderId="18" xfId="0" applyFont="1" applyFill="1" applyBorder="1" applyAlignment="1">
      <alignment horizontal="center" vertical="center"/>
    </xf>
    <xf numFmtId="180" fontId="21" fillId="0" borderId="18" xfId="0" applyNumberFormat="1" applyFont="1" applyFill="1" applyBorder="1" applyAlignment="1">
      <alignment horizontal="center" vertical="center" wrapText="1"/>
    </xf>
    <xf numFmtId="180" fontId="21" fillId="0" borderId="18" xfId="0" applyNumberFormat="1" applyFont="1" applyFill="1" applyBorder="1" applyAlignment="1">
      <alignment horizontal="center" vertical="center"/>
    </xf>
    <xf numFmtId="43" fontId="20" fillId="0" borderId="18" xfId="1" applyNumberFormat="1" applyFont="1" applyFill="1" applyBorder="1" applyAlignment="1" applyProtection="1">
      <alignment horizontal="center" vertical="center"/>
    </xf>
    <xf numFmtId="181" fontId="20" fillId="0" borderId="18" xfId="0" applyNumberFormat="1" applyFont="1" applyFill="1" applyBorder="1" applyAlignment="1">
      <alignment horizontal="center" vertical="center"/>
    </xf>
    <xf numFmtId="180" fontId="20" fillId="0" borderId="18" xfId="0" applyNumberFormat="1" applyFont="1" applyFill="1" applyBorder="1" applyAlignment="1">
      <alignment horizontal="center" vertical="center"/>
    </xf>
    <xf numFmtId="43" fontId="0" fillId="0" borderId="19" xfId="0" applyNumberFormat="1" applyFont="1" applyBorder="1">
      <alignment vertical="center"/>
    </xf>
    <xf numFmtId="182" fontId="0" fillId="0" borderId="20" xfId="0" applyNumberFormat="1" applyFont="1" applyBorder="1">
      <alignment vertical="center"/>
    </xf>
    <xf numFmtId="43" fontId="4" fillId="0" borderId="7" xfId="0" applyNumberFormat="1" applyFont="1" applyBorder="1" applyAlignment="1">
      <alignment horizontal="center" vertical="center"/>
    </xf>
    <xf numFmtId="43" fontId="22" fillId="2" borderId="7" xfId="0" applyNumberFormat="1" applyFont="1" applyFill="1" applyBorder="1">
      <alignment vertical="center"/>
    </xf>
    <xf numFmtId="43" fontId="0" fillId="2" borderId="7" xfId="0" applyNumberFormat="1" applyFont="1" applyFill="1" applyBorder="1">
      <alignment vertical="center"/>
    </xf>
    <xf numFmtId="43" fontId="0" fillId="4" borderId="7" xfId="0" applyNumberFormat="1" applyFont="1" applyFill="1" applyBorder="1">
      <alignment vertical="center"/>
    </xf>
    <xf numFmtId="0" fontId="20" fillId="0" borderId="21" xfId="0" applyFont="1" applyFill="1" applyBorder="1" applyAlignment="1">
      <alignment horizontal="center" vertical="center"/>
    </xf>
    <xf numFmtId="0" fontId="21" fillId="0" borderId="21" xfId="0" applyFont="1" applyFill="1" applyBorder="1" applyAlignment="1">
      <alignment horizontal="center" vertical="center"/>
    </xf>
    <xf numFmtId="43" fontId="20" fillId="0" borderId="21" xfId="0" applyNumberFormat="1" applyFont="1" applyFill="1" applyBorder="1" applyAlignment="1">
      <alignment horizontal="center" vertical="center"/>
    </xf>
    <xf numFmtId="181" fontId="20" fillId="0" borderId="21" xfId="0" applyNumberFormat="1" applyFont="1" applyFill="1" applyBorder="1" applyAlignment="1">
      <alignment horizontal="center" vertical="center"/>
    </xf>
    <xf numFmtId="180" fontId="20" fillId="0" borderId="21" xfId="0" applyNumberFormat="1" applyFont="1" applyFill="1" applyBorder="1" applyAlignment="1">
      <alignment horizontal="center" vertical="center"/>
    </xf>
    <xf numFmtId="43" fontId="0" fillId="0" borderId="7" xfId="0" applyNumberFormat="1" applyFont="1" applyBorder="1">
      <alignment vertical="center"/>
    </xf>
    <xf numFmtId="43" fontId="20" fillId="0" borderId="18" xfId="0" applyNumberFormat="1" applyFont="1" applyFill="1" applyBorder="1" applyAlignment="1">
      <alignment vertical="center"/>
    </xf>
    <xf numFmtId="43" fontId="23" fillId="0" borderId="7" xfId="0" applyNumberFormat="1" applyFont="1" applyBorder="1">
      <alignment vertical="center"/>
    </xf>
    <xf numFmtId="180" fontId="21" fillId="0" borderId="22" xfId="0" applyNumberFormat="1" applyFont="1" applyFill="1" applyBorder="1" applyAlignment="1">
      <alignment horizontal="center" vertical="center"/>
    </xf>
    <xf numFmtId="43" fontId="20" fillId="0" borderId="22" xfId="0" applyNumberFormat="1" applyFont="1" applyFill="1" applyBorder="1" applyAlignment="1">
      <alignment vertical="center"/>
    </xf>
    <xf numFmtId="181" fontId="20" fillId="0" borderId="22" xfId="0" applyNumberFormat="1" applyFont="1" applyFill="1" applyBorder="1" applyAlignment="1">
      <alignment horizontal="center" vertical="center"/>
    </xf>
    <xf numFmtId="180" fontId="20" fillId="0" borderId="22" xfId="0" applyNumberFormat="1" applyFont="1" applyFill="1" applyBorder="1" applyAlignment="1">
      <alignment horizontal="center" vertical="center"/>
    </xf>
    <xf numFmtId="43" fontId="20" fillId="0" borderId="22" xfId="0" applyNumberFormat="1" applyFont="1" applyFill="1" applyBorder="1" applyAlignment="1">
      <alignment horizontal="center" vertical="center"/>
    </xf>
    <xf numFmtId="0" fontId="21" fillId="0" borderId="18" xfId="0" applyFont="1" applyFill="1" applyBorder="1" applyAlignment="1">
      <alignment horizontal="center" vertical="center"/>
    </xf>
    <xf numFmtId="43" fontId="24" fillId="0" borderId="7" xfId="0" applyNumberFormat="1" applyFont="1" applyFill="1" applyBorder="1">
      <alignment vertical="center"/>
    </xf>
    <xf numFmtId="43" fontId="23" fillId="0" borderId="7" xfId="0" applyNumberFormat="1" applyFont="1" applyFill="1" applyBorder="1">
      <alignment vertical="center"/>
    </xf>
    <xf numFmtId="43" fontId="25" fillId="0" borderId="18" xfId="0" applyNumberFormat="1" applyFont="1" applyFill="1" applyBorder="1" applyAlignment="1">
      <alignment horizontal="center" vertical="center"/>
    </xf>
    <xf numFmtId="181" fontId="25" fillId="0" borderId="18" xfId="0" applyNumberFormat="1" applyFont="1" applyFill="1" applyBorder="1" applyAlignment="1">
      <alignment horizontal="center" vertical="center"/>
    </xf>
    <xf numFmtId="0" fontId="25" fillId="0" borderId="18" xfId="0" applyFont="1" applyFill="1" applyBorder="1" applyAlignment="1">
      <alignment horizontal="center" vertical="center"/>
    </xf>
    <xf numFmtId="180" fontId="26" fillId="0" borderId="18" xfId="0" applyNumberFormat="1" applyFont="1" applyFill="1" applyBorder="1" applyAlignment="1">
      <alignment horizontal="center" vertical="center" wrapText="1"/>
    </xf>
    <xf numFmtId="180" fontId="25" fillId="0" borderId="18" xfId="0" applyNumberFormat="1" applyFont="1" applyFill="1" applyBorder="1" applyAlignment="1">
      <alignment horizontal="center" vertical="center" wrapText="1"/>
    </xf>
    <xf numFmtId="0" fontId="27" fillId="0" borderId="18" xfId="0" applyFont="1" applyFill="1" applyBorder="1" applyAlignment="1">
      <alignment horizontal="center" vertical="center"/>
    </xf>
    <xf numFmtId="0" fontId="28" fillId="0" borderId="21" xfId="0" applyFont="1" applyFill="1" applyBorder="1" applyAlignment="1">
      <alignment horizontal="center" vertical="center"/>
    </xf>
    <xf numFmtId="180" fontId="28" fillId="0" borderId="21" xfId="0" applyNumberFormat="1" applyFont="1" applyFill="1" applyBorder="1" applyAlignment="1">
      <alignment horizontal="center" vertical="center"/>
    </xf>
    <xf numFmtId="43" fontId="23" fillId="0" borderId="23" xfId="0" applyNumberFormat="1" applyFont="1" applyBorder="1" applyAlignment="1">
      <alignment horizontal="center" vertical="center"/>
    </xf>
    <xf numFmtId="43" fontId="23" fillId="0" borderId="24" xfId="0" applyNumberFormat="1" applyFont="1" applyBorder="1" applyAlignment="1">
      <alignment horizontal="center" vertical="center"/>
    </xf>
    <xf numFmtId="0" fontId="29" fillId="0" borderId="7" xfId="0" applyFont="1" applyFill="1" applyBorder="1" applyAlignment="1">
      <alignment horizontal="center" vertical="center"/>
    </xf>
    <xf numFmtId="0" fontId="30" fillId="5" borderId="7" xfId="0" applyFont="1" applyFill="1" applyBorder="1" applyAlignment="1">
      <alignment horizontal="center" vertical="center"/>
    </xf>
    <xf numFmtId="0" fontId="28" fillId="5" borderId="7" xfId="0" applyFont="1" applyFill="1" applyBorder="1" applyAlignment="1">
      <alignment horizontal="center" vertical="center"/>
    </xf>
    <xf numFmtId="0" fontId="23" fillId="0" borderId="7" xfId="0" applyFont="1" applyBorder="1">
      <alignment vertical="center"/>
    </xf>
    <xf numFmtId="183" fontId="28" fillId="5" borderId="7" xfId="0" applyNumberFormat="1" applyFont="1" applyFill="1" applyBorder="1" applyAlignment="1">
      <alignment horizontal="center" vertical="center"/>
    </xf>
    <xf numFmtId="182" fontId="23" fillId="0" borderId="7" xfId="0" applyNumberFormat="1" applyFont="1" applyBorder="1">
      <alignment vertical="center"/>
    </xf>
    <xf numFmtId="43" fontId="31" fillId="0" borderId="7" xfId="0" applyNumberFormat="1" applyFont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7" xfId="0" applyFont="1" applyFill="1" applyBorder="1">
      <alignment vertical="center"/>
    </xf>
    <xf numFmtId="0" fontId="0" fillId="0" borderId="7" xfId="0" applyFont="1" applyBorder="1">
      <alignment vertical="center"/>
    </xf>
    <xf numFmtId="0" fontId="32" fillId="0" borderId="7" xfId="0" applyFont="1" applyFill="1" applyBorder="1" applyAlignment="1">
      <alignment horizontal="center" vertical="center"/>
    </xf>
    <xf numFmtId="0" fontId="28" fillId="5" borderId="7" xfId="0" applyFont="1" applyFill="1" applyBorder="1" applyAlignment="1">
      <alignment horizontal="center" vertical="center" wrapText="1"/>
    </xf>
    <xf numFmtId="0" fontId="30" fillId="5" borderId="7" xfId="0" applyFont="1" applyFill="1" applyBorder="1" applyAlignment="1">
      <alignment horizontal="center" vertical="center" wrapText="1"/>
    </xf>
    <xf numFmtId="0" fontId="32" fillId="5" borderId="7" xfId="0" applyFont="1" applyFill="1" applyBorder="1" applyAlignment="1">
      <alignment horizontal="center" vertical="center"/>
    </xf>
    <xf numFmtId="0" fontId="30" fillId="5" borderId="7" xfId="0" applyFont="1" applyFill="1" applyBorder="1" applyAlignment="1">
      <alignment vertical="center"/>
    </xf>
    <xf numFmtId="0" fontId="0" fillId="6" borderId="0" xfId="0" applyFont="1" applyFill="1">
      <alignment vertical="center"/>
    </xf>
    <xf numFmtId="177" fontId="0" fillId="0" borderId="0" xfId="0" applyNumberFormat="1" applyFont="1" applyAlignment="1">
      <alignment horizontal="center" vertical="center"/>
    </xf>
    <xf numFmtId="177" fontId="0" fillId="0" borderId="0" xfId="0" applyNumberFormat="1" applyFont="1">
      <alignment vertical="center"/>
    </xf>
    <xf numFmtId="0" fontId="0" fillId="0" borderId="17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/>
    </xf>
    <xf numFmtId="177" fontId="0" fillId="0" borderId="17" xfId="0" applyNumberFormat="1" applyFont="1" applyBorder="1" applyAlignment="1">
      <alignment horizontal="center" vertical="center"/>
    </xf>
    <xf numFmtId="0" fontId="33" fillId="0" borderId="17" xfId="0" applyFont="1" applyBorder="1">
      <alignment vertical="center"/>
    </xf>
    <xf numFmtId="177" fontId="0" fillId="0" borderId="0" xfId="0" applyNumberFormat="1" applyFont="1" applyBorder="1" applyAlignment="1">
      <alignment vertical="center" wrapText="1"/>
    </xf>
    <xf numFmtId="0" fontId="0" fillId="0" borderId="7" xfId="0" applyFont="1" applyBorder="1" applyAlignment="1">
      <alignment horizontal="center" vertical="center" wrapText="1"/>
    </xf>
    <xf numFmtId="180" fontId="21" fillId="0" borderId="7" xfId="0" applyNumberFormat="1" applyFont="1" applyFill="1" applyBorder="1" applyAlignment="1">
      <alignment horizontal="center" vertical="center"/>
    </xf>
    <xf numFmtId="181" fontId="20" fillId="0" borderId="7" xfId="0" applyNumberFormat="1" applyFont="1" applyFill="1" applyBorder="1" applyAlignment="1">
      <alignment horizontal="center" vertical="center"/>
    </xf>
    <xf numFmtId="177" fontId="0" fillId="0" borderId="7" xfId="0" applyNumberFormat="1" applyFont="1" applyBorder="1" applyAlignment="1">
      <alignment horizontal="center" vertical="center"/>
    </xf>
    <xf numFmtId="184" fontId="0" fillId="0" borderId="7" xfId="0" applyNumberFormat="1" applyFont="1" applyBorder="1" applyAlignment="1">
      <alignment horizontal="center" vertical="center"/>
    </xf>
    <xf numFmtId="177" fontId="0" fillId="0" borderId="7" xfId="0" applyNumberFormat="1" applyFont="1" applyFill="1" applyBorder="1">
      <alignment vertical="center"/>
    </xf>
    <xf numFmtId="177" fontId="0" fillId="0" borderId="0" xfId="0" applyNumberFormat="1" applyFont="1" applyFill="1">
      <alignment vertical="center"/>
    </xf>
    <xf numFmtId="0" fontId="21" fillId="0" borderId="7" xfId="0" applyFont="1" applyFill="1" applyBorder="1" applyAlignment="1">
      <alignment horizontal="center" vertical="center"/>
    </xf>
    <xf numFmtId="177" fontId="0" fillId="0" borderId="7" xfId="0" applyNumberFormat="1" applyFont="1" applyBorder="1" applyAlignment="1">
      <alignment horizontal="center" vertical="center" wrapText="1"/>
    </xf>
    <xf numFmtId="177" fontId="0" fillId="0" borderId="0" xfId="0" applyNumberFormat="1" applyFont="1" applyFill="1" applyAlignment="1">
      <alignment vertical="center"/>
    </xf>
    <xf numFmtId="177" fontId="0" fillId="0" borderId="0" xfId="0" applyNumberFormat="1" applyFont="1" applyFill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181" fontId="25" fillId="0" borderId="7" xfId="0" applyNumberFormat="1" applyFont="1" applyFill="1" applyBorder="1" applyAlignment="1">
      <alignment horizontal="center" vertical="center"/>
    </xf>
    <xf numFmtId="0" fontId="0" fillId="6" borderId="7" xfId="0" applyFont="1" applyFill="1" applyBorder="1" applyAlignment="1">
      <alignment horizontal="center" vertical="center" wrapText="1"/>
    </xf>
    <xf numFmtId="177" fontId="0" fillId="6" borderId="7" xfId="0" applyNumberFormat="1" applyFont="1" applyFill="1" applyBorder="1" applyAlignment="1">
      <alignment horizontal="center" vertical="center"/>
    </xf>
    <xf numFmtId="0" fontId="19" fillId="6" borderId="7" xfId="0" applyFont="1" applyFill="1" applyBorder="1" applyAlignment="1">
      <alignment horizontal="center" vertical="center"/>
    </xf>
    <xf numFmtId="181" fontId="25" fillId="6" borderId="7" xfId="0" applyNumberFormat="1" applyFont="1" applyFill="1" applyBorder="1" applyAlignment="1">
      <alignment horizontal="center" vertical="center"/>
    </xf>
    <xf numFmtId="0" fontId="0" fillId="6" borderId="7" xfId="0" applyFont="1" applyFill="1" applyBorder="1" applyAlignment="1">
      <alignment horizontal="center" vertical="center"/>
    </xf>
    <xf numFmtId="184" fontId="0" fillId="6" borderId="7" xfId="0" applyNumberFormat="1" applyFont="1" applyFill="1" applyBorder="1" applyAlignment="1">
      <alignment horizontal="center" vertical="center"/>
    </xf>
    <xf numFmtId="177" fontId="0" fillId="6" borderId="7" xfId="0" applyNumberFormat="1" applyFont="1" applyFill="1" applyBorder="1">
      <alignment vertical="center"/>
    </xf>
    <xf numFmtId="177" fontId="0" fillId="6" borderId="0" xfId="0" applyNumberFormat="1" applyFont="1" applyFill="1">
      <alignment vertical="center"/>
    </xf>
    <xf numFmtId="0" fontId="0" fillId="6" borderId="0" xfId="0" applyFont="1" applyFill="1" applyAlignment="1">
      <alignment horizontal="center" vertical="center"/>
    </xf>
    <xf numFmtId="177" fontId="0" fillId="6" borderId="0" xfId="0" applyNumberFormat="1" applyFont="1" applyFill="1" applyAlignment="1">
      <alignment horizontal="center" vertical="center"/>
    </xf>
    <xf numFmtId="177" fontId="0" fillId="2" borderId="7" xfId="0" applyNumberFormat="1" applyFont="1" applyFill="1" applyBorder="1">
      <alignment vertical="center"/>
    </xf>
    <xf numFmtId="0" fontId="0" fillId="0" borderId="2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177" fontId="34" fillId="0" borderId="7" xfId="0" applyNumberFormat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77" fontId="4" fillId="0" borderId="7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177" fontId="0" fillId="0" borderId="0" xfId="0" applyNumberFormat="1" applyFont="1" applyBorder="1" applyAlignment="1">
      <alignment horizontal="center" vertical="center"/>
    </xf>
    <xf numFmtId="177" fontId="0" fillId="0" borderId="0" xfId="0" applyNumberFormat="1" applyFont="1" applyBorder="1">
      <alignment vertical="center"/>
    </xf>
    <xf numFmtId="0" fontId="21" fillId="0" borderId="20" xfId="0" applyFont="1" applyFill="1" applyBorder="1" applyAlignment="1">
      <alignment horizontal="center" vertical="center"/>
    </xf>
    <xf numFmtId="180" fontId="21" fillId="0" borderId="27" xfId="0" applyNumberFormat="1" applyFont="1" applyFill="1" applyBorder="1" applyAlignment="1">
      <alignment horizontal="center" vertical="center"/>
    </xf>
    <xf numFmtId="180" fontId="21" fillId="0" borderId="28" xfId="0" applyNumberFormat="1" applyFont="1" applyFill="1" applyBorder="1" applyAlignment="1">
      <alignment horizontal="center" vertical="center"/>
    </xf>
    <xf numFmtId="0" fontId="21" fillId="0" borderId="28" xfId="0" applyFont="1" applyFill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21" fillId="0" borderId="30" xfId="0" applyFont="1" applyFill="1" applyBorder="1" applyAlignment="1">
      <alignment horizontal="center" vertical="center"/>
    </xf>
    <xf numFmtId="181" fontId="20" fillId="0" borderId="15" xfId="0" applyNumberFormat="1" applyFont="1" applyFill="1" applyBorder="1" applyAlignment="1">
      <alignment horizontal="center" vertical="center"/>
    </xf>
    <xf numFmtId="177" fontId="34" fillId="0" borderId="15" xfId="0" applyNumberFormat="1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177" fontId="4" fillId="0" borderId="15" xfId="0" applyNumberFormat="1" applyFont="1" applyBorder="1" applyAlignment="1">
      <alignment horizontal="center" vertical="center"/>
    </xf>
    <xf numFmtId="177" fontId="4" fillId="0" borderId="25" xfId="0" applyNumberFormat="1" applyFont="1" applyBorder="1" applyAlignment="1">
      <alignment horizontal="center" vertical="center"/>
    </xf>
    <xf numFmtId="177" fontId="4" fillId="2" borderId="7" xfId="0" applyNumberFormat="1" applyFont="1" applyFill="1" applyBorder="1" applyAlignment="1">
      <alignment vertical="center"/>
    </xf>
    <xf numFmtId="0" fontId="35" fillId="0" borderId="0" xfId="0" applyFont="1">
      <alignment vertical="center"/>
    </xf>
    <xf numFmtId="177" fontId="4" fillId="7" borderId="7" xfId="0" applyNumberFormat="1" applyFont="1" applyFill="1" applyBorder="1" applyAlignment="1">
      <alignment horizontal="center" vertical="center"/>
    </xf>
    <xf numFmtId="0" fontId="36" fillId="8" borderId="31" xfId="0" applyFont="1" applyFill="1" applyBorder="1" applyAlignment="1">
      <alignment horizontal="center" vertical="center"/>
    </xf>
    <xf numFmtId="177" fontId="36" fillId="8" borderId="31" xfId="0" applyNumberFormat="1" applyFont="1" applyFill="1" applyBorder="1" applyAlignment="1">
      <alignment horizontal="center" vertical="center"/>
    </xf>
    <xf numFmtId="0" fontId="36" fillId="8" borderId="0" xfId="0" applyFont="1" applyFill="1" applyAlignment="1">
      <alignment horizontal="center" vertical="center"/>
    </xf>
    <xf numFmtId="177" fontId="36" fillId="8" borderId="0" xfId="0" applyNumberFormat="1" applyFont="1" applyFill="1" applyAlignment="1">
      <alignment horizontal="center" vertical="center"/>
    </xf>
    <xf numFmtId="43" fontId="35" fillId="0" borderId="0" xfId="0" applyNumberFormat="1" applyFont="1">
      <alignment vertical="center"/>
    </xf>
    <xf numFmtId="0" fontId="0" fillId="0" borderId="26" xfId="0" applyFont="1" applyBorder="1" applyAlignment="1">
      <alignment horizontal="center" vertical="center" wrapText="1"/>
    </xf>
    <xf numFmtId="0" fontId="37" fillId="0" borderId="17" xfId="0" applyFont="1" applyBorder="1">
      <alignment vertical="center"/>
    </xf>
    <xf numFmtId="0" fontId="38" fillId="0" borderId="0" xfId="0" applyFont="1">
      <alignment vertical="center"/>
    </xf>
    <xf numFmtId="0" fontId="39" fillId="8" borderId="0" xfId="0" applyFont="1" applyFill="1" applyAlignment="1">
      <alignment horizontal="center" vertical="center"/>
    </xf>
    <xf numFmtId="177" fontId="39" fillId="8" borderId="0" xfId="0" applyNumberFormat="1" applyFont="1" applyFill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177" fontId="4" fillId="0" borderId="7" xfId="0" applyNumberFormat="1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0" fillId="0" borderId="7" xfId="0" applyFont="1" applyFill="1" applyBorder="1" applyAlignment="1">
      <alignment horizontal="center" vertical="center"/>
    </xf>
    <xf numFmtId="177" fontId="28" fillId="5" borderId="7" xfId="0" applyNumberFormat="1" applyFont="1" applyFill="1" applyBorder="1" applyAlignment="1">
      <alignment horizontal="center" vertical="center"/>
    </xf>
    <xf numFmtId="4" fontId="31" fillId="0" borderId="7" xfId="0" applyNumberFormat="1" applyFont="1" applyFill="1" applyBorder="1" applyAlignment="1">
      <alignment horizontal="center" vertical="center"/>
    </xf>
    <xf numFmtId="0" fontId="30" fillId="0" borderId="7" xfId="0" applyFont="1" applyFill="1" applyBorder="1" applyAlignment="1">
      <alignment horizontal="center" vertical="center" wrapText="1"/>
    </xf>
    <xf numFmtId="177" fontId="4" fillId="2" borderId="7" xfId="0" applyNumberFormat="1" applyFont="1" applyFill="1" applyBorder="1" applyAlignment="1">
      <alignment horizontal="center" vertical="center"/>
    </xf>
    <xf numFmtId="177" fontId="4" fillId="0" borderId="0" xfId="0" applyNumberFormat="1" applyFont="1" applyBorder="1">
      <alignment vertical="center"/>
    </xf>
    <xf numFmtId="0" fontId="0" fillId="0" borderId="0" xfId="0" applyFont="1" applyBorder="1" applyAlignment="1">
      <alignment vertical="center" wrapText="1"/>
    </xf>
    <xf numFmtId="177" fontId="0" fillId="7" borderId="7" xfId="0" applyNumberFormat="1" applyFont="1" applyFill="1" applyBorder="1" applyAlignment="1">
      <alignment horizontal="center" vertical="center"/>
    </xf>
    <xf numFmtId="177" fontId="40" fillId="0" borderId="0" xfId="0" applyNumberFormat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77" fontId="33" fillId="0" borderId="17" xfId="0" applyNumberFormat="1" applyFont="1" applyBorder="1" applyAlignment="1">
      <alignment horizontal="center" vertical="center"/>
    </xf>
    <xf numFmtId="177" fontId="0" fillId="0" borderId="0" xfId="0" applyNumberFormat="1" applyFont="1" applyBorder="1" applyAlignment="1">
      <alignment vertical="center"/>
    </xf>
    <xf numFmtId="0" fontId="41" fillId="0" borderId="0" xfId="0" applyFont="1" applyBorder="1" applyAlignment="1">
      <alignment horizontal="center" vertical="center" wrapText="1"/>
    </xf>
    <xf numFmtId="177" fontId="41" fillId="0" borderId="0" xfId="0" applyNumberFormat="1" applyFont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/>
    </xf>
    <xf numFmtId="0" fontId="41" fillId="0" borderId="32" xfId="0" applyFont="1" applyBorder="1" applyAlignment="1">
      <alignment horizontal="center" vertical="center" wrapText="1"/>
    </xf>
    <xf numFmtId="177" fontId="41" fillId="0" borderId="32" xfId="0" applyNumberFormat="1" applyFont="1" applyBorder="1" applyAlignment="1">
      <alignment horizontal="right" vertical="center" wrapText="1"/>
    </xf>
    <xf numFmtId="177" fontId="33" fillId="0" borderId="7" xfId="0" applyNumberFormat="1" applyFont="1" applyBorder="1" applyAlignment="1">
      <alignment horizontal="center" vertical="center"/>
    </xf>
    <xf numFmtId="0" fontId="41" fillId="3" borderId="32" xfId="0" applyFont="1" applyFill="1" applyBorder="1" applyAlignment="1">
      <alignment horizontal="center" vertical="center" wrapText="1"/>
    </xf>
    <xf numFmtId="177" fontId="41" fillId="3" borderId="32" xfId="0" applyNumberFormat="1" applyFont="1" applyFill="1" applyBorder="1" applyAlignment="1">
      <alignment horizontal="right" vertical="center" wrapText="1"/>
    </xf>
    <xf numFmtId="0" fontId="0" fillId="0" borderId="7" xfId="0" applyFont="1" applyBorder="1" applyAlignment="1">
      <alignment vertical="center"/>
    </xf>
    <xf numFmtId="177" fontId="41" fillId="3" borderId="7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177" fontId="21" fillId="0" borderId="0" xfId="0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177" fontId="42" fillId="0" borderId="0" xfId="0" applyNumberFormat="1" applyFont="1" applyAlignment="1">
      <alignment vertical="center" wrapText="1"/>
    </xf>
    <xf numFmtId="0" fontId="41" fillId="3" borderId="32" xfId="0" applyFont="1" applyFill="1" applyBorder="1" applyAlignment="1">
      <alignment horizontal="left" vertical="center" wrapText="1"/>
    </xf>
    <xf numFmtId="177" fontId="41" fillId="0" borderId="32" xfId="0" applyNumberFormat="1" applyFont="1" applyBorder="1" applyAlignment="1">
      <alignment horizontal="left" vertical="center" wrapText="1"/>
    </xf>
    <xf numFmtId="14" fontId="41" fillId="0" borderId="32" xfId="0" applyNumberFormat="1" applyFont="1" applyBorder="1" applyAlignment="1">
      <alignment horizontal="left" vertical="center" wrapText="1"/>
    </xf>
    <xf numFmtId="0" fontId="41" fillId="0" borderId="32" xfId="0" applyFont="1" applyBorder="1" applyAlignment="1">
      <alignment horizontal="right" vertical="center" wrapText="1"/>
    </xf>
    <xf numFmtId="14" fontId="35" fillId="0" borderId="0" xfId="0" applyNumberFormat="1" applyFont="1">
      <alignment vertical="center"/>
    </xf>
    <xf numFmtId="4" fontId="35" fillId="0" borderId="0" xfId="0" applyNumberFormat="1" applyFont="1">
      <alignment vertical="center"/>
    </xf>
    <xf numFmtId="177" fontId="41" fillId="3" borderId="32" xfId="0" applyNumberFormat="1" applyFont="1" applyFill="1" applyBorder="1" applyAlignment="1">
      <alignment horizontal="left" vertical="center" wrapText="1"/>
    </xf>
    <xf numFmtId="14" fontId="41" fillId="3" borderId="32" xfId="0" applyNumberFormat="1" applyFont="1" applyFill="1" applyBorder="1" applyAlignment="1">
      <alignment horizontal="left" vertical="center" wrapText="1"/>
    </xf>
    <xf numFmtId="0" fontId="41" fillId="3" borderId="32" xfId="0" applyFont="1" applyFill="1" applyBorder="1" applyAlignment="1">
      <alignment horizontal="righ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colors>
    <mruColors>
      <color rgb="00ED7D31"/>
      <color rgb="00C5D9F1"/>
      <color rgb="00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92"/>
  <sheetViews>
    <sheetView zoomScale="130" zoomScaleNormal="130" workbookViewId="0">
      <selection activeCell="E12" sqref="E12"/>
    </sheetView>
  </sheetViews>
  <sheetFormatPr defaultColWidth="9" defaultRowHeight="14.4"/>
  <cols>
    <col min="1" max="1" width="8.75" style="132" customWidth="1"/>
    <col min="2" max="2" width="17.3796296296296" style="132" customWidth="1"/>
    <col min="3" max="3" width="16.8796296296296" style="132" customWidth="1"/>
    <col min="4" max="4" width="20.6296296296296" style="132" customWidth="1"/>
    <col min="5" max="5" width="13.75" style="195" customWidth="1"/>
    <col min="6" max="6" width="10.3796296296296" style="132" customWidth="1"/>
    <col min="7" max="7" width="11.8796296296296" style="195" customWidth="1"/>
    <col min="8" max="8" width="12.5" style="195" customWidth="1"/>
    <col min="9" max="9" width="12.1296296296296" style="196" customWidth="1"/>
    <col min="10" max="10" width="8.75" style="196" customWidth="1"/>
    <col min="11" max="11" width="5.25" style="196" customWidth="1"/>
    <col min="12" max="12" width="9.12962962962963" style="132" customWidth="1"/>
    <col min="13" max="13" width="14.1296296296296" style="132" customWidth="1"/>
    <col min="14" max="14" width="14.75" style="132" customWidth="1"/>
    <col min="15" max="15" width="15.1296296296296" style="195" customWidth="1"/>
    <col min="16" max="16" width="11.3796296296296" style="132" customWidth="1"/>
    <col min="17" max="17" width="9" style="132" customWidth="1"/>
    <col min="18" max="18" width="12" style="196" customWidth="1"/>
    <col min="19" max="19" width="11.75" style="196" customWidth="1"/>
    <col min="20" max="20" width="12.6296296296296"/>
    <col min="21" max="21" width="14.25" style="196" customWidth="1"/>
    <col min="22" max="22" width="14.25" customWidth="1"/>
    <col min="23" max="23" width="9.37962962962963"/>
  </cols>
  <sheetData>
    <row r="1" ht="24" customHeight="1" spans="1:21">
      <c r="A1" s="116" t="s">
        <v>0</v>
      </c>
      <c r="B1" s="116"/>
      <c r="C1" s="116"/>
      <c r="D1" s="116"/>
      <c r="E1" s="116"/>
      <c r="F1" s="116"/>
      <c r="G1" s="117"/>
      <c r="H1" s="116"/>
      <c r="I1" s="116"/>
    </row>
    <row r="2" ht="15" customHeight="1" spans="1:21">
      <c r="A2" s="197" t="s">
        <v>1</v>
      </c>
      <c r="B2" s="197" t="s">
        <v>2</v>
      </c>
      <c r="C2" s="198" t="s">
        <v>3</v>
      </c>
      <c r="D2" s="197" t="s">
        <v>4</v>
      </c>
      <c r="E2" s="199" t="s">
        <v>5</v>
      </c>
      <c r="F2" s="198" t="s">
        <v>6</v>
      </c>
      <c r="G2" s="199" t="s">
        <v>7</v>
      </c>
      <c r="H2" s="199" t="s">
        <v>8</v>
      </c>
      <c r="I2" s="200" t="s">
        <v>9</v>
      </c>
      <c r="J2" s="201"/>
      <c r="K2" s="201"/>
      <c r="U2"/>
    </row>
    <row r="3" spans="1:21">
      <c r="A3" s="202"/>
      <c r="B3" s="52" t="s">
        <v>10</v>
      </c>
      <c r="C3" s="203" t="s">
        <v>11</v>
      </c>
      <c r="D3" s="204">
        <v>109.83</v>
      </c>
      <c r="E3" s="205">
        <f>D3*C28</f>
        <v>134864.886084199</v>
      </c>
      <c r="F3" s="140">
        <v>0.7</v>
      </c>
      <c r="G3" s="206">
        <v>0.012</v>
      </c>
      <c r="H3" s="52">
        <f>E3*F3*G3/12*2</f>
        <v>188.810840517878</v>
      </c>
      <c r="I3" s="207">
        <f>H3*50%</f>
        <v>94.4054202589391</v>
      </c>
      <c r="J3" s="208"/>
      <c r="K3" s="208"/>
      <c r="U3"/>
    </row>
    <row r="4" spans="1:21">
      <c r="A4" s="202"/>
      <c r="B4" s="52" t="s">
        <v>10</v>
      </c>
      <c r="C4" s="209" t="s">
        <v>12</v>
      </c>
      <c r="D4" s="204">
        <v>59.49</v>
      </c>
      <c r="E4" s="210">
        <f>D4*C28</f>
        <v>73050.278367923</v>
      </c>
      <c r="F4" s="140">
        <v>0.7</v>
      </c>
      <c r="G4" s="206">
        <v>0.012</v>
      </c>
      <c r="H4" s="52">
        <f>E4*F4*G4/12*2</f>
        <v>102.270389715092</v>
      </c>
      <c r="I4" s="207">
        <f>H4*50%</f>
        <v>51.1351948575461</v>
      </c>
      <c r="J4" s="208"/>
      <c r="K4" s="208"/>
      <c r="U4"/>
    </row>
    <row r="5" spans="1:21">
      <c r="A5" s="202"/>
      <c r="B5" s="52" t="s">
        <v>10</v>
      </c>
      <c r="C5" s="209" t="s">
        <v>13</v>
      </c>
      <c r="D5" s="204">
        <v>173.11</v>
      </c>
      <c r="E5" s="205">
        <f>D5*C28</f>
        <v>212569.065191984</v>
      </c>
      <c r="F5" s="140">
        <v>0.7</v>
      </c>
      <c r="G5" s="206">
        <v>0.012</v>
      </c>
      <c r="H5" s="52">
        <f>E5*F5*G5/12*2</f>
        <v>297.596691268778</v>
      </c>
      <c r="I5" s="207">
        <f>H5*50%</f>
        <v>148.798345634389</v>
      </c>
      <c r="J5" s="211"/>
      <c r="K5" s="211"/>
      <c r="U5"/>
    </row>
    <row r="6" spans="1:21">
      <c r="A6" s="202"/>
      <c r="B6" s="52" t="s">
        <v>10</v>
      </c>
      <c r="C6" s="209" t="s">
        <v>14</v>
      </c>
      <c r="D6" s="204">
        <v>363.29</v>
      </c>
      <c r="E6" s="205">
        <f>D6*C28</f>
        <v>446099.102845567</v>
      </c>
      <c r="F6" s="140">
        <v>0.7</v>
      </c>
      <c r="G6" s="206">
        <v>0.012</v>
      </c>
      <c r="H6" s="52">
        <f>E6*F6*G6/12*2</f>
        <v>624.538743983793</v>
      </c>
      <c r="I6" s="52">
        <f>H6*50%</f>
        <v>312.269371991897</v>
      </c>
      <c r="J6" s="212"/>
      <c r="K6" s="212"/>
      <c r="U6"/>
    </row>
    <row r="7" spans="1:21">
      <c r="A7" s="202"/>
      <c r="B7" s="52"/>
      <c r="C7" s="203" t="s">
        <v>15</v>
      </c>
      <c r="D7" s="204"/>
      <c r="E7" s="205"/>
      <c r="F7" s="140">
        <v>0.7</v>
      </c>
      <c r="G7" s="206">
        <v>0.012</v>
      </c>
      <c r="H7" s="52"/>
      <c r="I7" s="52"/>
      <c r="J7" s="212"/>
      <c r="K7" s="212"/>
      <c r="U7"/>
    </row>
    <row r="8" spans="1:21">
      <c r="A8" s="202"/>
      <c r="B8" s="52" t="s">
        <v>10</v>
      </c>
      <c r="C8" s="203" t="s">
        <v>16</v>
      </c>
      <c r="D8" s="204">
        <v>687.77</v>
      </c>
      <c r="E8" s="205">
        <f>D8*C28</f>
        <v>844541.770938081</v>
      </c>
      <c r="F8" s="140">
        <v>0.7</v>
      </c>
      <c r="G8" s="206">
        <v>0.012</v>
      </c>
      <c r="H8" s="52">
        <f>E8*F8*G8/12*2</f>
        <v>1182.35847931331</v>
      </c>
      <c r="I8" s="207">
        <f>H8*50%</f>
        <v>591.179239656656</v>
      </c>
      <c r="J8" s="211"/>
      <c r="K8" s="211"/>
      <c r="U8"/>
    </row>
    <row r="9" spans="1:21">
      <c r="A9" s="202"/>
      <c r="B9" s="52" t="s">
        <v>10</v>
      </c>
      <c r="C9" s="209" t="s">
        <v>17</v>
      </c>
      <c r="D9" s="204">
        <v>38.42</v>
      </c>
      <c r="E9" s="205">
        <f>D9*C28</f>
        <v>47177.5373154413</v>
      </c>
      <c r="F9" s="140">
        <v>0.7</v>
      </c>
      <c r="G9" s="206">
        <v>0.012</v>
      </c>
      <c r="H9" s="52">
        <f>E9*F9*G9/12*2</f>
        <v>66.0485522416178</v>
      </c>
      <c r="I9" s="52">
        <f>H9*50%</f>
        <v>33.0242761208089</v>
      </c>
      <c r="J9" s="208"/>
      <c r="K9" s="208"/>
      <c r="U9"/>
    </row>
    <row r="10" spans="1:21">
      <c r="A10" s="202"/>
      <c r="B10" s="52" t="s">
        <v>10</v>
      </c>
      <c r="C10" s="209" t="s">
        <v>18</v>
      </c>
      <c r="D10" s="204"/>
      <c r="E10" s="205"/>
      <c r="F10" s="140">
        <v>0.7</v>
      </c>
      <c r="G10" s="206">
        <v>0.012</v>
      </c>
      <c r="H10" s="52"/>
      <c r="I10" s="52"/>
      <c r="J10" s="211"/>
      <c r="K10" s="211"/>
    </row>
    <row r="11" spans="1:21">
      <c r="A11" s="202"/>
      <c r="B11" s="52" t="s">
        <v>19</v>
      </c>
      <c r="C11" s="213" t="s">
        <v>20</v>
      </c>
      <c r="D11" s="214">
        <f>38.42+38.42</f>
        <v>76.84</v>
      </c>
      <c r="E11" s="205">
        <f>D11*C28</f>
        <v>94355.0746308826</v>
      </c>
      <c r="F11" s="140">
        <v>0.7</v>
      </c>
      <c r="G11" s="206">
        <v>0.012</v>
      </c>
      <c r="H11" s="52">
        <f>E11*F11*G11/12*6</f>
        <v>396.291313449707</v>
      </c>
      <c r="I11" s="207">
        <f>H11*50%</f>
        <v>198.145656724853</v>
      </c>
      <c r="J11" s="208"/>
      <c r="K11" s="208"/>
    </row>
    <row r="12" s="194" customFormat="1" spans="1:21">
      <c r="A12" s="215"/>
      <c r="B12" s="216" t="s">
        <v>19</v>
      </c>
      <c r="C12" s="217" t="s">
        <v>21</v>
      </c>
      <c r="D12" s="218">
        <v>1505.01</v>
      </c>
      <c r="E12" s="216">
        <f>D12*C28</f>
        <v>1848065.2117416</v>
      </c>
      <c r="F12" s="219">
        <v>0.7</v>
      </c>
      <c r="G12" s="220">
        <v>0.012</v>
      </c>
      <c r="H12" s="216">
        <f>E12*F12*G12/12*5</f>
        <v>6468.2282410956</v>
      </c>
      <c r="I12" s="221">
        <f>H12*50%</f>
        <v>3234.1141205478</v>
      </c>
      <c r="J12" s="222"/>
      <c r="K12" s="222"/>
      <c r="L12" s="223"/>
      <c r="M12" s="223"/>
      <c r="N12" s="223"/>
      <c r="O12" s="224"/>
      <c r="P12" s="223"/>
      <c r="Q12" s="223"/>
      <c r="R12" s="222"/>
      <c r="S12" s="222"/>
      <c r="U12" s="222"/>
    </row>
    <row r="13" spans="1:21">
      <c r="A13" s="202"/>
      <c r="B13" s="202"/>
      <c r="C13" s="140" t="s">
        <v>22</v>
      </c>
      <c r="D13" s="140">
        <f>SUM(D3:D12)</f>
        <v>3013.76</v>
      </c>
      <c r="E13" s="205">
        <f>SUM(E3:E12)</f>
        <v>3700722.92711568</v>
      </c>
      <c r="F13" s="140"/>
      <c r="G13" s="205"/>
      <c r="H13" s="52">
        <f>SUM(H3:H12)</f>
        <v>9326.14325158578</v>
      </c>
      <c r="I13" s="225">
        <f>SUM(I3:I12)</f>
        <v>4663.07162579289</v>
      </c>
      <c r="J13" s="208"/>
      <c r="K13" s="208"/>
    </row>
    <row r="14" ht="21" customHeight="1" spans="1:21">
      <c r="A14" s="202" t="s">
        <v>23</v>
      </c>
      <c r="B14" s="226" t="s">
        <v>2</v>
      </c>
      <c r="C14" s="227" t="s">
        <v>3</v>
      </c>
      <c r="D14" s="198" t="s">
        <v>4</v>
      </c>
      <c r="E14" s="199" t="s">
        <v>24</v>
      </c>
      <c r="F14" s="140" t="s">
        <v>7</v>
      </c>
      <c r="G14" s="205"/>
      <c r="H14" s="199" t="s">
        <v>8</v>
      </c>
    </row>
    <row r="15" spans="1:21">
      <c r="A15" s="202"/>
      <c r="B15" s="228" t="s">
        <v>25</v>
      </c>
      <c r="C15" s="203" t="s">
        <v>26</v>
      </c>
      <c r="D15" s="145">
        <v>109.83</v>
      </c>
      <c r="E15" s="229">
        <f>7*30*3.12*115.79</f>
        <v>75865.608</v>
      </c>
      <c r="F15" s="230">
        <v>0.12</v>
      </c>
      <c r="G15" s="231"/>
      <c r="H15" s="231">
        <f>E15*F15/2</f>
        <v>4551.93648</v>
      </c>
      <c r="I15" s="196">
        <f>H15/12</f>
        <v>379.32804</v>
      </c>
      <c r="L15" s="232"/>
      <c r="M15" s="232"/>
      <c r="N15" s="232"/>
      <c r="O15" s="233"/>
      <c r="P15" s="232"/>
      <c r="Q15" s="233"/>
      <c r="R15" s="233"/>
      <c r="S15" s="233"/>
    </row>
    <row r="16" spans="1:21">
      <c r="A16" s="202"/>
      <c r="B16" s="228" t="s">
        <v>25</v>
      </c>
      <c r="C16" s="209" t="s">
        <v>12</v>
      </c>
      <c r="D16" s="156">
        <v>59.49</v>
      </c>
      <c r="E16" s="229">
        <f>8*30*3.33*57.35</f>
        <v>45834.12</v>
      </c>
      <c r="F16" s="230">
        <v>0.12</v>
      </c>
      <c r="G16" s="231"/>
      <c r="H16" s="231">
        <f t="shared" ref="H16:H21" si="0">E16*F16/2</f>
        <v>2750.0472</v>
      </c>
      <c r="L16" s="233"/>
      <c r="M16" s="232"/>
      <c r="N16" s="233"/>
      <c r="O16" s="233"/>
      <c r="P16" s="232"/>
      <c r="Q16" s="232"/>
      <c r="R16" s="234"/>
      <c r="S16" s="234"/>
    </row>
    <row r="17" spans="1:18">
      <c r="A17" s="202"/>
      <c r="B17" s="228" t="s">
        <v>25</v>
      </c>
      <c r="C17" s="235" t="s">
        <v>13</v>
      </c>
      <c r="D17" s="204">
        <v>173.11</v>
      </c>
      <c r="E17" s="229">
        <v>300000</v>
      </c>
      <c r="F17" s="230">
        <v>0.12</v>
      </c>
      <c r="G17" s="231"/>
      <c r="H17" s="231">
        <f t="shared" si="0"/>
        <v>18000</v>
      </c>
      <c r="I17" s="196" t="s">
        <v>27</v>
      </c>
      <c r="L17" s="195"/>
      <c r="N17" s="195"/>
    </row>
    <row r="18" spans="1:18">
      <c r="A18" s="202"/>
      <c r="B18" s="228" t="s">
        <v>25</v>
      </c>
      <c r="C18" s="236" t="s">
        <v>15</v>
      </c>
      <c r="D18" s="204">
        <v>363.29</v>
      </c>
      <c r="E18" s="229">
        <f>3*30*3.39*24.2</f>
        <v>7383.42</v>
      </c>
      <c r="F18" s="230">
        <v>0.12</v>
      </c>
      <c r="G18" s="231"/>
      <c r="H18" s="231">
        <f t="shared" si="0"/>
        <v>443.0052</v>
      </c>
      <c r="L18" s="195"/>
      <c r="M18" s="195"/>
      <c r="N18" s="195"/>
    </row>
    <row r="19" spans="1:18">
      <c r="A19" s="202"/>
      <c r="B19" s="228" t="s">
        <v>25</v>
      </c>
      <c r="C19" s="237" t="s">
        <v>16</v>
      </c>
      <c r="D19" s="204">
        <v>687.77</v>
      </c>
      <c r="E19" s="229">
        <f>5*30*3.36*40.72</f>
        <v>20522.88</v>
      </c>
      <c r="F19" s="230">
        <v>0.12</v>
      </c>
      <c r="G19" s="231"/>
      <c r="H19" s="231">
        <f t="shared" si="0"/>
        <v>1231.3728</v>
      </c>
      <c r="N19" s="195"/>
    </row>
    <row r="20" spans="1:18">
      <c r="A20" s="202"/>
      <c r="B20" s="228" t="s">
        <v>25</v>
      </c>
      <c r="C20" s="238" t="s">
        <v>17</v>
      </c>
      <c r="D20" s="204">
        <v>38.42</v>
      </c>
      <c r="E20" s="229">
        <f>6*30*4.059*40.72</f>
        <v>29750.8464</v>
      </c>
      <c r="F20" s="230">
        <v>0.12</v>
      </c>
      <c r="G20" s="231"/>
      <c r="H20" s="231">
        <f t="shared" si="0"/>
        <v>1785.050784</v>
      </c>
      <c r="L20" s="195"/>
      <c r="M20" s="195"/>
      <c r="N20" s="195"/>
    </row>
    <row r="21" spans="1:18">
      <c r="A21" s="202"/>
      <c r="B21" s="239" t="s">
        <v>25</v>
      </c>
      <c r="C21" s="240" t="s">
        <v>18</v>
      </c>
      <c r="D21" s="241"/>
      <c r="E21" s="242">
        <f>6*30*2.99*32</f>
        <v>17222.4</v>
      </c>
      <c r="F21" s="243">
        <v>0.12</v>
      </c>
      <c r="G21" s="244"/>
      <c r="H21" s="231">
        <f t="shared" si="0"/>
        <v>1033.344</v>
      </c>
      <c r="L21"/>
    </row>
    <row r="22" spans="1:18">
      <c r="A22" s="202"/>
      <c r="B22" s="245"/>
      <c r="C22" s="205" t="s">
        <v>22</v>
      </c>
      <c r="D22" s="231">
        <f>SUM(D15:D21)</f>
        <v>1431.91</v>
      </c>
      <c r="E22" s="231"/>
      <c r="F22" s="231"/>
      <c r="G22" s="231"/>
      <c r="H22" s="246">
        <f>SUM(H15:H21)</f>
        <v>29794.756464</v>
      </c>
    </row>
    <row r="23" ht="8" customHeight="1"/>
    <row r="24" spans="1:18">
      <c r="B24" s="230" t="s">
        <v>28</v>
      </c>
      <c r="C24" s="231">
        <v>19235799.7</v>
      </c>
    </row>
    <row r="25" spans="1:18">
      <c r="B25" s="230" t="s">
        <v>29</v>
      </c>
      <c r="C25" s="231">
        <v>15665.07</v>
      </c>
    </row>
    <row r="26" ht="31" customHeight="1" spans="1:18">
      <c r="B26" s="230" t="s">
        <v>30</v>
      </c>
      <c r="C26" s="231">
        <v>3013.76</v>
      </c>
      <c r="I26" s="247"/>
      <c r="J26" s="247"/>
      <c r="K26" s="247"/>
    </row>
    <row r="27" ht="15.15" spans="1:18">
      <c r="B27" s="230" t="s">
        <v>5</v>
      </c>
      <c r="C27" s="248">
        <f>C24/C25*D13</f>
        <v>3700722.92711568</v>
      </c>
      <c r="I27" s="247"/>
      <c r="J27" s="247"/>
      <c r="K27" s="247"/>
    </row>
    <row r="28" ht="16.35" spans="1:18">
      <c r="B28" s="230"/>
      <c r="C28" s="231">
        <f>C27/D13</f>
        <v>1227.94214772101</v>
      </c>
      <c r="I28" s="247"/>
      <c r="J28" s="247"/>
      <c r="K28" s="247"/>
      <c r="P28" s="249"/>
      <c r="Q28" s="249"/>
      <c r="R28" s="250"/>
    </row>
    <row r="29" ht="15.6" spans="1:18">
      <c r="D29" s="195">
        <v>4284.55</v>
      </c>
      <c r="E29" s="195">
        <v>2630.57</v>
      </c>
      <c r="F29" s="132">
        <f>D29-E29</f>
        <v>1653.98</v>
      </c>
      <c r="I29" s="247"/>
      <c r="J29" s="247"/>
      <c r="K29" s="247"/>
      <c r="P29" s="251"/>
      <c r="Q29" s="251"/>
      <c r="R29" s="252"/>
    </row>
    <row r="30" ht="22.2" spans="1:18">
      <c r="A30" s="116" t="s">
        <v>31</v>
      </c>
      <c r="B30" s="116"/>
      <c r="C30" s="116"/>
      <c r="D30" s="116"/>
      <c r="E30" s="116"/>
      <c r="F30" s="116"/>
      <c r="G30" s="116"/>
      <c r="H30" s="116"/>
      <c r="I30" s="253">
        <f>F29*I32</f>
        <v>1386673.09658873</v>
      </c>
      <c r="J30" s="247"/>
      <c r="K30" s="247"/>
      <c r="P30" s="251"/>
      <c r="Q30" s="251"/>
      <c r="R30" s="252"/>
    </row>
    <row r="31" ht="15.6" spans="1:18">
      <c r="A31" s="197" t="s">
        <v>1</v>
      </c>
      <c r="B31" s="254" t="s">
        <v>2</v>
      </c>
      <c r="C31" s="197" t="s">
        <v>4</v>
      </c>
      <c r="D31" s="199" t="s">
        <v>5</v>
      </c>
      <c r="E31" s="198" t="s">
        <v>6</v>
      </c>
      <c r="F31" s="198" t="s">
        <v>7</v>
      </c>
      <c r="G31" s="199" t="s">
        <v>8</v>
      </c>
      <c r="H31" s="255" t="s">
        <v>32</v>
      </c>
      <c r="I31" s="256"/>
      <c r="J31" s="256"/>
      <c r="K31" s="256"/>
      <c r="P31" s="257"/>
      <c r="Q31" s="257"/>
      <c r="R31" s="258"/>
    </row>
    <row r="32" ht="15.6" spans="1:18">
      <c r="A32" s="259"/>
      <c r="B32" s="228" t="s">
        <v>10</v>
      </c>
      <c r="C32" s="230">
        <v>5075.23</v>
      </c>
      <c r="D32" s="231">
        <f>C32*C43</f>
        <v>4255000</v>
      </c>
      <c r="E32" s="230">
        <v>0.7</v>
      </c>
      <c r="F32" s="230">
        <v>0.012</v>
      </c>
      <c r="G32" s="231">
        <f>D32*E32*F32/12*2</f>
        <v>5957</v>
      </c>
      <c r="H32" s="260">
        <f>G32*50%</f>
        <v>2978.5</v>
      </c>
      <c r="I32" s="253">
        <f>D32/C32</f>
        <v>838.385649517362</v>
      </c>
      <c r="J32" s="247"/>
      <c r="K32" s="247"/>
      <c r="P32" s="251"/>
      <c r="Q32" s="251"/>
      <c r="R32" s="252"/>
    </row>
    <row r="33" ht="15.6" spans="1:21">
      <c r="A33" s="259"/>
      <c r="B33" s="228" t="s">
        <v>33</v>
      </c>
      <c r="C33" s="230">
        <f>C32-D39</f>
        <v>4843.51</v>
      </c>
      <c r="D33" s="231">
        <f>C33*C43</f>
        <v>4060729.27729384</v>
      </c>
      <c r="E33" s="230">
        <v>0.7</v>
      </c>
      <c r="F33" s="230">
        <f>F32</f>
        <v>0.012</v>
      </c>
      <c r="G33" s="231">
        <f>D33*E33*F33/9*3</f>
        <v>11370.0419764227</v>
      </c>
      <c r="H33" s="260">
        <f>G33*50%</f>
        <v>5685.02098821137</v>
      </c>
      <c r="I33" s="247"/>
      <c r="J33" s="247"/>
      <c r="K33" s="247"/>
      <c r="P33" s="251"/>
      <c r="Q33" s="251"/>
      <c r="R33" s="252"/>
    </row>
    <row r="34" ht="15.6" spans="1:21">
      <c r="A34" s="259"/>
      <c r="B34" s="261" t="s">
        <v>22</v>
      </c>
      <c r="C34" s="261"/>
      <c r="D34" s="262"/>
      <c r="E34" s="262"/>
      <c r="F34" s="262"/>
      <c r="G34" s="231">
        <f>SUM(G32:G33)</f>
        <v>17327.0419764227</v>
      </c>
      <c r="H34" s="246">
        <f>SUM(H32:H33)</f>
        <v>8663.52098821137</v>
      </c>
      <c r="I34" s="247"/>
      <c r="J34" s="247"/>
      <c r="K34" s="247"/>
      <c r="P34" s="251"/>
      <c r="Q34" s="251"/>
      <c r="R34" s="252"/>
    </row>
    <row r="35" ht="15.6" spans="1:21">
      <c r="A35" s="202" t="s">
        <v>23</v>
      </c>
      <c r="B35" s="202" t="s">
        <v>2</v>
      </c>
      <c r="C35" s="140" t="s">
        <v>3</v>
      </c>
      <c r="D35" s="205" t="s">
        <v>4</v>
      </c>
      <c r="E35" s="205" t="s">
        <v>24</v>
      </c>
      <c r="F35" s="140" t="s">
        <v>7</v>
      </c>
      <c r="G35" s="205" t="s">
        <v>8</v>
      </c>
      <c r="H35" s="196"/>
      <c r="I35" s="256"/>
      <c r="J35" s="256"/>
      <c r="K35" s="256"/>
      <c r="P35" s="257"/>
      <c r="Q35" s="257"/>
      <c r="R35" s="258"/>
    </row>
    <row r="36" ht="15.6" spans="1:21">
      <c r="A36" s="259"/>
      <c r="B36" s="230" t="s">
        <v>25</v>
      </c>
      <c r="C36" s="263" t="s">
        <v>34</v>
      </c>
      <c r="D36" s="264">
        <v>119.98</v>
      </c>
      <c r="E36" s="265">
        <v>10000</v>
      </c>
      <c r="F36" s="230">
        <v>0.12</v>
      </c>
      <c r="G36" s="231">
        <f>E36*F36/2</f>
        <v>600</v>
      </c>
      <c r="H36" s="112"/>
      <c r="I36" s="247"/>
      <c r="J36" s="247"/>
      <c r="K36" s="247"/>
      <c r="P36" s="251"/>
      <c r="Q36" s="251"/>
      <c r="R36" s="252"/>
    </row>
    <row r="37" ht="15.6" spans="1:21">
      <c r="A37" s="259"/>
      <c r="B37" s="230" t="s">
        <v>25</v>
      </c>
      <c r="C37" s="266" t="s">
        <v>35</v>
      </c>
      <c r="D37" s="264">
        <v>70</v>
      </c>
      <c r="E37" s="265">
        <v>4000</v>
      </c>
      <c r="F37" s="230">
        <v>0.12</v>
      </c>
      <c r="G37" s="231">
        <f>E37*F37/2</f>
        <v>240</v>
      </c>
      <c r="H37" s="112"/>
      <c r="I37" s="247"/>
      <c r="J37" s="247"/>
      <c r="K37" s="247"/>
      <c r="P37" s="251"/>
      <c r="Q37" s="251"/>
      <c r="R37" s="252"/>
    </row>
    <row r="38" ht="15.6" spans="1:21">
      <c r="A38" s="259"/>
      <c r="B38" s="230" t="s">
        <v>25</v>
      </c>
      <c r="C38" s="263" t="s">
        <v>36</v>
      </c>
      <c r="D38" s="264">
        <v>41.74</v>
      </c>
      <c r="E38" s="265">
        <v>5000</v>
      </c>
      <c r="F38" s="230">
        <v>0.12</v>
      </c>
      <c r="G38" s="231">
        <f>E38*F38/2</f>
        <v>300</v>
      </c>
      <c r="H38" s="112"/>
      <c r="I38" s="247"/>
      <c r="J38" s="247"/>
      <c r="K38" s="247"/>
      <c r="P38" s="251"/>
      <c r="Q38" s="251"/>
      <c r="R38" s="252"/>
    </row>
    <row r="39" ht="15.6" spans="1:21">
      <c r="A39" s="259"/>
      <c r="B39" s="230"/>
      <c r="C39" s="230" t="s">
        <v>22</v>
      </c>
      <c r="D39" s="231">
        <f>SUM(D36:D38)</f>
        <v>231.72</v>
      </c>
      <c r="E39" s="231">
        <f>SUM(E36:E38)</f>
        <v>19000</v>
      </c>
      <c r="F39" s="230"/>
      <c r="G39" s="267">
        <f>SUM(G36:G38)</f>
        <v>1140</v>
      </c>
      <c r="H39" s="268"/>
      <c r="I39" s="247"/>
      <c r="J39" s="247"/>
      <c r="K39" s="247"/>
      <c r="P39" s="251"/>
      <c r="Q39" s="251"/>
      <c r="R39" s="252"/>
    </row>
    <row r="40" ht="14" customHeight="1" spans="1:21">
      <c r="A40" s="269"/>
      <c r="B40" s="232"/>
      <c r="C40" s="232"/>
      <c r="D40" s="233"/>
      <c r="E40" s="232"/>
      <c r="F40" s="232"/>
      <c r="G40" s="233"/>
      <c r="H40" s="234"/>
      <c r="I40" s="247"/>
      <c r="J40" s="247"/>
      <c r="K40" s="247"/>
      <c r="P40" s="251"/>
      <c r="Q40" s="251"/>
      <c r="R40" s="252"/>
    </row>
    <row r="41" ht="16" customHeight="1" spans="1:21">
      <c r="A41" s="269"/>
      <c r="B41" s="205" t="s">
        <v>5</v>
      </c>
      <c r="C41" s="270">
        <v>4255000</v>
      </c>
      <c r="E41" s="232"/>
      <c r="F41" s="233"/>
      <c r="G41" s="233"/>
      <c r="H41" s="271"/>
      <c r="I41" s="247"/>
      <c r="J41" s="247"/>
      <c r="K41" s="247"/>
      <c r="P41" s="251"/>
      <c r="Q41" s="251"/>
      <c r="R41" s="252"/>
    </row>
    <row r="42" ht="15.6" spans="1:21">
      <c r="A42" s="269"/>
      <c r="B42" s="205" t="s">
        <v>37</v>
      </c>
      <c r="C42" s="205">
        <v>5075.23</v>
      </c>
      <c r="E42" s="232"/>
      <c r="F42" s="232"/>
      <c r="G42" s="233"/>
      <c r="H42" s="271"/>
      <c r="I42" s="247"/>
      <c r="J42" s="247"/>
      <c r="K42" s="247"/>
      <c r="P42" s="251"/>
      <c r="Q42" s="251"/>
      <c r="R42" s="252"/>
    </row>
    <row r="43" ht="16" customHeight="1" spans="1:21">
      <c r="A43" s="232"/>
      <c r="B43" s="205"/>
      <c r="C43" s="205">
        <f>C41/C42</f>
        <v>838.385649517362</v>
      </c>
      <c r="E43" s="232"/>
      <c r="F43" s="232"/>
      <c r="G43" s="233"/>
      <c r="H43" s="271"/>
      <c r="I43" s="247"/>
      <c r="J43" s="247"/>
      <c r="K43" s="247"/>
      <c r="P43" s="251"/>
      <c r="Q43" s="251"/>
      <c r="R43" s="252"/>
    </row>
    <row r="44" ht="15" customHeight="1" spans="1:21">
      <c r="D44" s="195"/>
      <c r="I44" s="247"/>
      <c r="J44" s="247"/>
      <c r="K44" s="247"/>
      <c r="P44" s="251"/>
      <c r="Q44" s="251"/>
      <c r="R44" s="252"/>
    </row>
    <row r="45" ht="22.2" spans="1:21">
      <c r="A45" s="116" t="s">
        <v>38</v>
      </c>
      <c r="B45" s="116"/>
      <c r="C45" s="116"/>
      <c r="D45" s="116"/>
      <c r="E45" s="116"/>
      <c r="F45" s="116"/>
      <c r="G45" s="117"/>
      <c r="I45" s="247"/>
      <c r="J45" s="247"/>
      <c r="K45" s="247"/>
      <c r="L45" s="272"/>
      <c r="M45" s="272"/>
      <c r="N45" s="272"/>
      <c r="O45" s="272"/>
      <c r="P45" s="272"/>
      <c r="Q45" s="272"/>
      <c r="R45" s="272"/>
    </row>
    <row r="46" ht="15.6" spans="1:21">
      <c r="A46" s="198" t="s">
        <v>3</v>
      </c>
      <c r="B46" s="199" t="s">
        <v>39</v>
      </c>
      <c r="C46" s="198" t="s">
        <v>40</v>
      </c>
      <c r="D46" s="198" t="s">
        <v>41</v>
      </c>
      <c r="E46" s="199" t="s">
        <v>42</v>
      </c>
      <c r="F46" s="199" t="s">
        <v>8</v>
      </c>
      <c r="G46" s="273" t="s">
        <v>9</v>
      </c>
      <c r="H46" s="233"/>
      <c r="I46" s="247"/>
      <c r="J46" s="247"/>
      <c r="K46" s="247"/>
      <c r="L46" s="232"/>
      <c r="M46" s="233"/>
      <c r="N46" s="232"/>
      <c r="O46" s="274"/>
      <c r="P46" s="196"/>
      <c r="Q46"/>
      <c r="S46"/>
      <c r="U46"/>
    </row>
    <row r="47" ht="15.6" spans="1:21">
      <c r="A47" s="140" t="s">
        <v>43</v>
      </c>
      <c r="B47" s="205">
        <f>2124.01/15665.07*1505.01</f>
        <v>204.062687884574</v>
      </c>
      <c r="C47" s="205" t="s">
        <v>44</v>
      </c>
      <c r="D47" s="140" t="s">
        <v>45</v>
      </c>
      <c r="E47" s="205">
        <f>B47/2</f>
        <v>102.031343942287</v>
      </c>
      <c r="F47" s="205">
        <f>E47*14</f>
        <v>1428.43881519202</v>
      </c>
      <c r="G47" s="205">
        <f>F47*50%</f>
        <v>714.219407596008</v>
      </c>
      <c r="H47" s="275"/>
      <c r="I47" s="247"/>
      <c r="J47" s="247"/>
      <c r="K47" s="247"/>
      <c r="L47" s="276"/>
      <c r="M47" s="275"/>
      <c r="N47" s="232"/>
      <c r="O47" s="234"/>
      <c r="P47" s="196"/>
      <c r="Q47"/>
      <c r="S47"/>
      <c r="U47"/>
    </row>
    <row r="48" ht="16.35" spans="1:21">
      <c r="A48" s="140" t="s">
        <v>46</v>
      </c>
      <c r="B48" s="205">
        <f>2124.01/15665.07*1508.75</f>
        <v>204.569790463752</v>
      </c>
      <c r="C48" s="205" t="s">
        <v>44</v>
      </c>
      <c r="D48" s="140" t="s">
        <v>45</v>
      </c>
      <c r="E48" s="205">
        <f>B48/2</f>
        <v>102.284895231876</v>
      </c>
      <c r="F48" s="205">
        <f>E48*14</f>
        <v>1431.98853324626</v>
      </c>
      <c r="G48" s="205">
        <f>F48*50%</f>
        <v>715.99426662313</v>
      </c>
      <c r="H48" s="277"/>
      <c r="I48" s="247"/>
      <c r="J48" s="247"/>
      <c r="K48" s="247"/>
      <c r="L48" s="277"/>
      <c r="M48" s="278"/>
      <c r="O48" s="196"/>
      <c r="P48" s="196"/>
      <c r="Q48"/>
      <c r="S48"/>
      <c r="U48"/>
    </row>
    <row r="49" ht="16.35" spans="1:25">
      <c r="A49" s="140" t="s">
        <v>22</v>
      </c>
      <c r="B49" s="205">
        <f>SUM(B47:B48)</f>
        <v>408.632478348325</v>
      </c>
      <c r="C49" s="140"/>
      <c r="D49" s="140"/>
      <c r="E49" s="205">
        <f>SUM(E47:E48)</f>
        <v>204.316239174163</v>
      </c>
      <c r="F49" s="205">
        <f>SUM(F47:F48)</f>
        <v>2860.42734843828</v>
      </c>
      <c r="G49" s="54">
        <v>1430.24</v>
      </c>
      <c r="I49" s="247"/>
      <c r="J49" s="247"/>
      <c r="K49" s="247"/>
      <c r="L49" s="277"/>
      <c r="M49" s="277"/>
      <c r="N49" s="277"/>
      <c r="O49" s="277"/>
      <c r="P49" s="278"/>
    </row>
    <row r="50" ht="16.35" spans="1:25">
      <c r="I50" s="247"/>
      <c r="J50" s="247"/>
      <c r="K50" s="247"/>
      <c r="L50" s="277"/>
      <c r="M50" s="277"/>
      <c r="N50" s="277"/>
      <c r="O50" s="277"/>
      <c r="P50" s="278"/>
      <c r="Q50" s="278"/>
      <c r="R50" s="279"/>
    </row>
    <row r="51" ht="22.95" spans="1:25">
      <c r="A51" s="116" t="s">
        <v>47</v>
      </c>
      <c r="B51" s="116"/>
      <c r="C51" s="116"/>
      <c r="D51" s="116"/>
      <c r="E51" s="116"/>
      <c r="F51" s="116"/>
      <c r="G51" s="117"/>
      <c r="I51" s="247"/>
      <c r="J51" s="247"/>
      <c r="K51" s="247"/>
      <c r="L51" s="277"/>
      <c r="M51" s="277"/>
      <c r="N51" s="277"/>
      <c r="O51" s="277"/>
      <c r="P51" s="278"/>
      <c r="Q51" s="278"/>
      <c r="R51" s="279"/>
    </row>
    <row r="52" ht="16.35" spans="1:25">
      <c r="A52" s="140" t="s">
        <v>3</v>
      </c>
      <c r="B52" s="205" t="s">
        <v>39</v>
      </c>
      <c r="C52" s="140" t="s">
        <v>40</v>
      </c>
      <c r="D52" s="140" t="s">
        <v>41</v>
      </c>
      <c r="E52" s="205" t="s">
        <v>42</v>
      </c>
      <c r="F52" s="205" t="s">
        <v>8</v>
      </c>
      <c r="G52" s="280" t="s">
        <v>9</v>
      </c>
      <c r="H52" s="277"/>
      <c r="I52" s="247"/>
      <c r="J52" s="247"/>
      <c r="K52" s="247"/>
      <c r="L52" s="277"/>
      <c r="M52" s="277"/>
      <c r="N52" s="277"/>
      <c r="O52" s="277"/>
      <c r="P52" s="281"/>
      <c r="Q52" s="281"/>
      <c r="R52" s="282"/>
    </row>
    <row r="53" ht="16.35" spans="1:25">
      <c r="A53" s="283" t="s">
        <v>48</v>
      </c>
      <c r="B53" s="205">
        <v>1800.95</v>
      </c>
      <c r="C53" s="140" t="s">
        <v>49</v>
      </c>
      <c r="D53" s="140" t="s">
        <v>45</v>
      </c>
      <c r="E53" s="284">
        <f>B53/2</f>
        <v>900.475</v>
      </c>
      <c r="F53" s="205">
        <f>E53*8</f>
        <v>7203.8</v>
      </c>
      <c r="G53" s="54">
        <f>F53*50%</f>
        <v>3601.9</v>
      </c>
      <c r="H53" s="277"/>
      <c r="I53" s="247"/>
      <c r="J53" s="247"/>
      <c r="K53" s="247"/>
      <c r="L53" s="277"/>
      <c r="M53" s="277"/>
      <c r="N53" s="277"/>
      <c r="O53" s="277"/>
      <c r="P53" s="281"/>
      <c r="Q53" s="281"/>
      <c r="R53" s="282"/>
    </row>
    <row r="54" ht="15.15" spans="1:25">
      <c r="A54" s="285"/>
      <c r="H54" s="277"/>
      <c r="I54" s="247"/>
      <c r="J54" s="247"/>
      <c r="K54" s="247"/>
      <c r="L54" s="277"/>
      <c r="M54" s="277"/>
      <c r="N54" s="277"/>
      <c r="O54" s="277"/>
    </row>
    <row r="55" ht="16.35" spans="1:25">
      <c r="A55" s="286" t="s">
        <v>50</v>
      </c>
      <c r="B55" s="249"/>
      <c r="C55" s="277"/>
      <c r="D55" s="277"/>
      <c r="E55" s="287"/>
      <c r="F55" s="277"/>
      <c r="G55" s="287"/>
      <c r="H55" s="277"/>
      <c r="I55" s="247"/>
      <c r="J55" s="247"/>
      <c r="K55" s="247"/>
      <c r="L55" s="277"/>
      <c r="M55" s="277"/>
      <c r="N55" s="277"/>
      <c r="O55" s="277"/>
      <c r="Q55" s="249"/>
      <c r="R55" s="250"/>
      <c r="S55" s="250"/>
      <c r="T55" s="249"/>
      <c r="U55" s="249"/>
      <c r="V55" s="249"/>
      <c r="W55" s="249"/>
      <c r="X55" s="249"/>
      <c r="Y55" s="249"/>
    </row>
    <row r="56" spans="1:25">
      <c r="A56" s="286" t="s">
        <v>51</v>
      </c>
      <c r="B56" s="288"/>
      <c r="C56" s="277"/>
      <c r="D56" s="277"/>
      <c r="E56" s="287"/>
      <c r="F56" s="277"/>
      <c r="G56" s="287"/>
      <c r="H56" s="277"/>
      <c r="I56" s="247"/>
      <c r="J56" s="247"/>
      <c r="K56" s="247"/>
      <c r="L56" s="277"/>
      <c r="M56" s="277"/>
      <c r="N56" s="277"/>
      <c r="O56" s="277"/>
      <c r="Q56" s="289"/>
      <c r="R56" s="290"/>
      <c r="S56" s="290"/>
      <c r="T56" s="288"/>
      <c r="U56" s="288"/>
      <c r="V56" s="288"/>
      <c r="W56" s="288"/>
      <c r="X56" s="288"/>
      <c r="Y56" s="288"/>
    </row>
    <row r="57" ht="16.35" spans="1:25">
      <c r="A57" s="286" t="s">
        <v>52</v>
      </c>
      <c r="B57" s="291"/>
      <c r="C57" s="277"/>
      <c r="D57" s="277"/>
      <c r="E57" s="287"/>
      <c r="F57" s="277"/>
      <c r="G57" s="287"/>
      <c r="H57" s="277"/>
      <c r="I57" s="247"/>
      <c r="J57" s="247"/>
      <c r="K57" s="247"/>
      <c r="L57" s="277"/>
      <c r="M57" s="277"/>
      <c r="N57" s="277"/>
      <c r="O57" s="277"/>
      <c r="Q57" s="278"/>
      <c r="R57" s="279"/>
      <c r="S57" s="292"/>
      <c r="T57" s="293"/>
      <c r="U57" s="294"/>
      <c r="V57" s="294"/>
      <c r="W57" s="294"/>
      <c r="X57" s="294"/>
      <c r="Y57" s="294"/>
    </row>
    <row r="58" ht="16.35" spans="1:25">
      <c r="A58" s="232"/>
      <c r="B58" s="232"/>
      <c r="C58" s="277"/>
      <c r="D58" s="277"/>
      <c r="E58" s="287"/>
      <c r="F58" s="277"/>
      <c r="G58" s="287"/>
      <c r="H58" s="277"/>
      <c r="I58" s="247"/>
      <c r="J58" s="247"/>
      <c r="K58" s="247"/>
      <c r="L58" s="277"/>
      <c r="M58" s="277"/>
      <c r="N58" s="277"/>
      <c r="O58" s="277"/>
      <c r="Q58" s="278"/>
      <c r="R58" s="279"/>
      <c r="S58" s="292"/>
      <c r="T58" s="293"/>
      <c r="U58" s="294"/>
      <c r="V58" s="294"/>
      <c r="W58" s="294"/>
      <c r="X58" s="294"/>
      <c r="Y58" s="294"/>
    </row>
    <row r="59" ht="16.35" spans="1:25">
      <c r="A59" s="232"/>
      <c r="B59" s="232"/>
      <c r="C59" s="277"/>
      <c r="D59" s="277"/>
      <c r="E59" s="287"/>
      <c r="F59" s="277"/>
      <c r="G59" s="287"/>
      <c r="H59" s="277"/>
      <c r="I59" s="295"/>
      <c r="J59" s="295"/>
      <c r="K59" s="295"/>
      <c r="L59" s="277"/>
      <c r="M59" s="277"/>
      <c r="N59" s="277"/>
      <c r="O59" s="277"/>
      <c r="Q59" s="278"/>
      <c r="R59" s="279"/>
      <c r="S59" s="292"/>
      <c r="T59" s="293"/>
      <c r="U59" s="294"/>
      <c r="V59" s="294"/>
      <c r="W59" s="294"/>
      <c r="X59" s="294"/>
      <c r="Y59" s="294"/>
    </row>
    <row r="60" ht="16.35" spans="1:25">
      <c r="A60" s="232"/>
      <c r="B60" s="232"/>
      <c r="C60" s="277"/>
      <c r="D60" s="277"/>
      <c r="E60" s="287"/>
      <c r="F60" s="277"/>
      <c r="G60" s="287"/>
      <c r="H60" s="277"/>
      <c r="I60" s="295"/>
      <c r="J60" s="295"/>
      <c r="K60" s="295"/>
      <c r="L60" s="277"/>
      <c r="M60" s="277"/>
      <c r="N60" s="277"/>
      <c r="O60" s="277"/>
      <c r="Q60" s="278"/>
      <c r="R60" s="279"/>
      <c r="S60" s="292"/>
      <c r="T60" s="293"/>
      <c r="U60" s="294"/>
      <c r="V60" s="294"/>
      <c r="W60" s="294"/>
      <c r="X60" s="294"/>
      <c r="Y60" s="294"/>
    </row>
    <row r="61" ht="16.35" spans="1:25">
      <c r="A61" s="232"/>
      <c r="B61" s="232"/>
      <c r="C61" s="277"/>
      <c r="D61" s="277"/>
      <c r="E61" s="287"/>
      <c r="F61" s="277"/>
      <c r="G61" s="287"/>
      <c r="H61" s="277"/>
      <c r="I61" s="296"/>
      <c r="J61" s="296"/>
      <c r="K61" s="296"/>
      <c r="L61" s="277"/>
      <c r="M61" s="277"/>
      <c r="N61" s="277"/>
      <c r="O61" s="277"/>
      <c r="Q61" s="278"/>
      <c r="R61" s="279"/>
      <c r="S61" s="292"/>
      <c r="T61" s="293"/>
      <c r="U61" s="294"/>
      <c r="V61" s="294"/>
      <c r="W61" s="294"/>
      <c r="X61" s="294"/>
      <c r="Y61" s="294"/>
    </row>
    <row r="62" ht="16.35" spans="1:25">
      <c r="A62" s="232"/>
      <c r="B62" s="232"/>
      <c r="C62" s="232"/>
      <c r="D62" s="232"/>
      <c r="E62" s="233"/>
      <c r="F62" s="232"/>
      <c r="G62" s="233"/>
      <c r="H62" s="233"/>
      <c r="I62" s="247"/>
      <c r="J62" s="247"/>
      <c r="K62" s="247"/>
      <c r="Q62" s="278"/>
      <c r="R62" s="279"/>
      <c r="S62" s="292"/>
      <c r="T62" s="293"/>
      <c r="U62" s="294"/>
      <c r="V62" s="294"/>
      <c r="W62" s="294"/>
      <c r="X62" s="294"/>
      <c r="Y62" s="294"/>
    </row>
    <row r="63" ht="16.35" spans="1:25">
      <c r="I63" s="247"/>
      <c r="J63" s="247"/>
      <c r="K63" s="247"/>
      <c r="Q63" s="278"/>
      <c r="R63" s="279"/>
      <c r="S63" s="292"/>
      <c r="T63" s="293"/>
      <c r="U63" s="294"/>
      <c r="V63" s="294"/>
      <c r="W63" s="294"/>
      <c r="X63" s="294"/>
      <c r="Y63" s="294"/>
    </row>
    <row r="64" ht="16.35" spans="1:25">
      <c r="I64" s="247"/>
      <c r="J64" s="247"/>
      <c r="K64" s="247"/>
      <c r="Q64" s="281"/>
      <c r="R64" s="282"/>
      <c r="S64" s="297"/>
      <c r="T64" s="298"/>
      <c r="U64" s="299"/>
      <c r="V64" s="299"/>
      <c r="W64" s="299"/>
      <c r="X64" s="299"/>
      <c r="Y64" s="299"/>
    </row>
    <row r="65" ht="16.35" spans="9:21">
      <c r="I65" s="247"/>
      <c r="J65" s="247"/>
      <c r="K65" s="247"/>
      <c r="Q65" s="281"/>
      <c r="U65"/>
    </row>
    <row r="66" spans="9:21">
      <c r="I66" s="247"/>
      <c r="J66" s="247"/>
      <c r="K66" s="247"/>
    </row>
    <row r="67" spans="9:21">
      <c r="I67" s="247"/>
      <c r="J67" s="247"/>
      <c r="K67" s="247"/>
    </row>
    <row r="68" spans="9:21">
      <c r="I68" s="247"/>
      <c r="J68" s="247"/>
      <c r="K68" s="247"/>
    </row>
    <row r="69" spans="9:21">
      <c r="I69" s="247"/>
      <c r="J69" s="247"/>
      <c r="K69" s="247"/>
    </row>
    <row r="70" spans="9:21">
      <c r="I70" s="247"/>
      <c r="J70" s="247"/>
      <c r="K70" s="247"/>
    </row>
    <row r="71" spans="9:21">
      <c r="I71" s="247"/>
      <c r="J71" s="247"/>
      <c r="K71" s="247"/>
    </row>
    <row r="72" spans="9:21">
      <c r="I72" s="296"/>
      <c r="J72" s="296"/>
      <c r="K72" s="296"/>
    </row>
    <row r="73" spans="9:21">
      <c r="I73" s="247"/>
      <c r="J73" s="247"/>
      <c r="K73" s="247"/>
    </row>
    <row r="74" spans="9:21">
      <c r="I74" s="247"/>
      <c r="J74" s="247"/>
      <c r="K74" s="247"/>
    </row>
    <row r="75" spans="9:21">
      <c r="I75" s="247"/>
      <c r="J75" s="247"/>
      <c r="K75" s="247"/>
    </row>
    <row r="76" spans="9:21">
      <c r="I76" s="247"/>
      <c r="J76" s="247"/>
      <c r="K76" s="247"/>
    </row>
    <row r="77" spans="9:21">
      <c r="I77" s="247"/>
      <c r="J77" s="247"/>
      <c r="K77" s="247"/>
    </row>
    <row r="78" spans="9:21">
      <c r="I78" s="247"/>
      <c r="J78" s="247"/>
      <c r="K78" s="247"/>
    </row>
    <row r="79" spans="9:21">
      <c r="I79" s="295"/>
      <c r="J79" s="295"/>
      <c r="K79" s="295"/>
    </row>
    <row r="80" spans="9:21">
      <c r="I80" s="295"/>
      <c r="J80" s="295"/>
      <c r="K80" s="295"/>
    </row>
    <row r="81" spans="9:11">
      <c r="I81" s="247"/>
      <c r="J81" s="247"/>
      <c r="K81" s="247"/>
    </row>
    <row r="82" spans="9:11">
      <c r="I82" s="247"/>
      <c r="J82" s="247"/>
      <c r="K82" s="247"/>
    </row>
    <row r="83" spans="9:11">
      <c r="I83" s="296"/>
      <c r="J83" s="296"/>
      <c r="K83" s="296"/>
    </row>
    <row r="84" spans="9:11">
      <c r="I84" s="247"/>
      <c r="J84" s="247"/>
      <c r="K84" s="247"/>
    </row>
    <row r="85" spans="9:11">
      <c r="I85" s="247"/>
      <c r="J85" s="247"/>
      <c r="K85" s="247"/>
    </row>
    <row r="86" spans="9:11">
      <c r="I86" s="247"/>
      <c r="J86" s="247"/>
      <c r="K86" s="247"/>
    </row>
    <row r="87" spans="9:11">
      <c r="I87" s="247"/>
      <c r="J87" s="247"/>
      <c r="K87" s="247"/>
    </row>
    <row r="88" spans="9:11">
      <c r="I88" s="247"/>
      <c r="J88" s="247"/>
      <c r="K88" s="247"/>
    </row>
    <row r="89" spans="9:11">
      <c r="I89" s="247"/>
      <c r="J89" s="247"/>
      <c r="K89" s="247"/>
    </row>
    <row r="90" spans="9:11">
      <c r="I90" s="247"/>
      <c r="J90" s="247"/>
      <c r="K90" s="247"/>
    </row>
    <row r="91" spans="9:11">
      <c r="I91" s="247"/>
      <c r="J91" s="247"/>
      <c r="K91" s="247"/>
    </row>
    <row r="92" spans="9:11">
      <c r="I92" s="247"/>
      <c r="J92" s="247"/>
      <c r="K92" s="247"/>
    </row>
  </sheetData>
  <mergeCells count="28">
    <mergeCell ref="A1:I1"/>
    <mergeCell ref="F14:G14"/>
    <mergeCell ref="F15:G15"/>
    <mergeCell ref="F16:G16"/>
    <mergeCell ref="F17:G17"/>
    <mergeCell ref="F18:G18"/>
    <mergeCell ref="F19:G19"/>
    <mergeCell ref="F20:G20"/>
    <mergeCell ref="F21:G21"/>
    <mergeCell ref="A30:H30"/>
    <mergeCell ref="B34:F34"/>
    <mergeCell ref="A45:G45"/>
    <mergeCell ref="L45:R45"/>
    <mergeCell ref="A51:G51"/>
    <mergeCell ref="A2:A13"/>
    <mergeCell ref="A14:A22"/>
    <mergeCell ref="A31:A34"/>
    <mergeCell ref="A35:A39"/>
    <mergeCell ref="B6:B7"/>
    <mergeCell ref="D6:D7"/>
    <mergeCell ref="D9:D10"/>
    <mergeCell ref="D20:D21"/>
    <mergeCell ref="E6:E7"/>
    <mergeCell ref="E9:E10"/>
    <mergeCell ref="H6:H7"/>
    <mergeCell ref="H9:H10"/>
    <mergeCell ref="I6:I7"/>
    <mergeCell ref="I9:I10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54"/>
  <sheetViews>
    <sheetView topLeftCell="C45" workbookViewId="0">
      <selection activeCell="L4" sqref="L4"/>
    </sheetView>
  </sheetViews>
  <sheetFormatPr defaultColWidth="9" defaultRowHeight="14.4"/>
  <cols>
    <col min="1" max="1" width="5.87037037037037" customWidth="1"/>
    <col min="2" max="2" width="13.1296296296296" customWidth="1"/>
    <col min="3" max="3" width="14.5" customWidth="1"/>
    <col min="4" max="4" width="21.7777777777778" customWidth="1"/>
    <col min="5" max="5" width="9.61111111111111" customWidth="1"/>
    <col min="6" max="6" width="12.1296296296296" customWidth="1"/>
    <col min="7" max="7" width="18.8796296296296" customWidth="1"/>
    <col min="8" max="8" width="15.0925925925926" customWidth="1"/>
    <col min="9" max="9" width="12.8148148148148" style="133" customWidth="1"/>
    <col min="10" max="11" width="11" style="133" customWidth="1"/>
    <col min="12" max="12" width="11.5" customWidth="1"/>
    <col min="13" max="25" width="11.5"/>
  </cols>
  <sheetData>
    <row r="1" ht="17.4" spans="1:23">
      <c r="B1" s="134" t="s">
        <v>53</v>
      </c>
    </row>
    <row r="2" s="132" customFormat="1" spans="1:23">
      <c r="A2" s="135" t="s">
        <v>54</v>
      </c>
      <c r="B2" s="135" t="s">
        <v>55</v>
      </c>
      <c r="C2" s="135" t="s">
        <v>56</v>
      </c>
      <c r="D2" s="135" t="s">
        <v>5</v>
      </c>
      <c r="E2" s="136" t="s">
        <v>57</v>
      </c>
      <c r="F2" s="136" t="s">
        <v>58</v>
      </c>
      <c r="G2" s="135" t="s">
        <v>59</v>
      </c>
      <c r="H2" s="137" t="s">
        <v>60</v>
      </c>
      <c r="I2" s="138" t="s">
        <v>61</v>
      </c>
      <c r="J2" s="139" t="s">
        <v>62</v>
      </c>
      <c r="K2" s="139" t="s">
        <v>63</v>
      </c>
      <c r="L2" s="140" t="s">
        <v>64</v>
      </c>
      <c r="M2" s="140" t="s">
        <v>65</v>
      </c>
      <c r="N2" s="140" t="s">
        <v>66</v>
      </c>
      <c r="O2" s="140" t="s">
        <v>67</v>
      </c>
      <c r="P2" s="140" t="s">
        <v>68</v>
      </c>
      <c r="Q2" s="140" t="s">
        <v>69</v>
      </c>
      <c r="R2" s="140" t="s">
        <v>70</v>
      </c>
      <c r="S2" s="140" t="s">
        <v>71</v>
      </c>
      <c r="T2" s="140" t="s">
        <v>72</v>
      </c>
      <c r="U2" s="140" t="s">
        <v>73</v>
      </c>
      <c r="V2" s="140" t="s">
        <v>74</v>
      </c>
      <c r="W2" s="140" t="s">
        <v>75</v>
      </c>
    </row>
    <row r="3" ht="25.2" spans="1:23">
      <c r="A3" s="141">
        <v>1</v>
      </c>
      <c r="B3" s="142" t="s">
        <v>76</v>
      </c>
      <c r="C3" s="143" t="s">
        <v>26</v>
      </c>
      <c r="D3" s="144">
        <v>134864.886084199</v>
      </c>
      <c r="E3" s="145">
        <v>115.79</v>
      </c>
      <c r="F3" s="145">
        <v>109.83</v>
      </c>
      <c r="G3" s="146" t="s">
        <v>77</v>
      </c>
      <c r="H3" s="146" t="s">
        <v>78</v>
      </c>
      <c r="I3" s="147">
        <v>75865.608</v>
      </c>
      <c r="J3" s="148">
        <f t="shared" ref="J3:J13" si="0">70%*0.012</f>
        <v>0.0084</v>
      </c>
      <c r="K3" s="149">
        <v>0.12</v>
      </c>
      <c r="L3" s="150">
        <f>$D$3*$J$3/2/12</f>
        <v>47.2027101294696</v>
      </c>
      <c r="M3" s="150">
        <f>$D$3*$J$3/2/12</f>
        <v>47.2027101294696</v>
      </c>
      <c r="N3" s="151">
        <f>$I3/12/2*$K3</f>
        <v>379.32804</v>
      </c>
      <c r="O3" s="151">
        <f>$I3/12/2*$K3</f>
        <v>379.32804</v>
      </c>
      <c r="P3" s="151">
        <f>$I3/12/2*$K3</f>
        <v>379.32804</v>
      </c>
      <c r="Q3" s="151">
        <f>$I3/12/2*$K3</f>
        <v>379.32804</v>
      </c>
      <c r="R3" s="151">
        <f>$I3/12/2*$K3</f>
        <v>379.32804</v>
      </c>
      <c r="S3" s="152"/>
      <c r="T3" s="152"/>
      <c r="U3" s="152"/>
      <c r="V3" s="152"/>
      <c r="W3" s="152"/>
    </row>
    <row r="4" spans="1:23">
      <c r="A4" s="153">
        <v>2</v>
      </c>
      <c r="B4" s="154" t="s">
        <v>79</v>
      </c>
      <c r="C4" s="154" t="s">
        <v>12</v>
      </c>
      <c r="D4" s="155">
        <v>73050.278367923</v>
      </c>
      <c r="E4" s="156">
        <v>57.35</v>
      </c>
      <c r="F4" s="156">
        <v>59.49</v>
      </c>
      <c r="G4" s="153" t="s">
        <v>80</v>
      </c>
      <c r="H4" s="157" t="s">
        <v>81</v>
      </c>
      <c r="I4" s="147">
        <v>45834.12</v>
      </c>
      <c r="J4" s="148">
        <f t="shared" si="0"/>
        <v>0.0084</v>
      </c>
      <c r="K4" s="149">
        <v>0.12</v>
      </c>
      <c r="L4" s="150">
        <f>$D$4*$J$4/2/12</f>
        <v>25.5675974287731</v>
      </c>
      <c r="M4" s="150">
        <f>$D$4*$J$4/2/12</f>
        <v>25.5675974287731</v>
      </c>
      <c r="N4" s="151">
        <f t="shared" ref="N4:S4" si="1">$I4/12/2*$K4</f>
        <v>229.1706</v>
      </c>
      <c r="O4" s="151">
        <f t="shared" si="1"/>
        <v>229.1706</v>
      </c>
      <c r="P4" s="151">
        <f t="shared" si="1"/>
        <v>229.1706</v>
      </c>
      <c r="Q4" s="151">
        <f t="shared" si="1"/>
        <v>229.1706</v>
      </c>
      <c r="R4" s="151">
        <f t="shared" si="1"/>
        <v>229.1706</v>
      </c>
      <c r="S4" s="151">
        <f t="shared" si="1"/>
        <v>229.1706</v>
      </c>
      <c r="T4" s="158"/>
      <c r="U4" s="158"/>
      <c r="V4" s="158"/>
      <c r="W4" s="158"/>
    </row>
    <row r="5" spans="1:23">
      <c r="A5" s="141">
        <v>3</v>
      </c>
      <c r="B5" s="154" t="s">
        <v>82</v>
      </c>
      <c r="C5" s="154" t="s">
        <v>13</v>
      </c>
      <c r="D5" s="155">
        <v>212569.065191984</v>
      </c>
      <c r="E5" s="156">
        <v>363.29</v>
      </c>
      <c r="F5" s="156">
        <v>363.29</v>
      </c>
      <c r="G5" s="153" t="s">
        <v>83</v>
      </c>
      <c r="H5" s="146" t="s">
        <v>84</v>
      </c>
      <c r="I5" s="147">
        <v>300000</v>
      </c>
      <c r="J5" s="148">
        <f t="shared" si="0"/>
        <v>0.0084</v>
      </c>
      <c r="K5" s="149">
        <v>0.12</v>
      </c>
      <c r="L5" s="150">
        <f>$D$5*$J$5/2/12+1500</f>
        <v>1574.39917281719</v>
      </c>
      <c r="M5" s="150">
        <f>$D$5*$J$5/2/12+1500</f>
        <v>1574.39917281719</v>
      </c>
      <c r="N5" s="151">
        <f>$I$5/12/2*$K$5</f>
        <v>1500</v>
      </c>
      <c r="O5" s="151">
        <f t="shared" ref="O5:Y5" si="2">$I$5/12/2*$K$5</f>
        <v>1500</v>
      </c>
      <c r="P5" s="151">
        <f t="shared" si="2"/>
        <v>1500</v>
      </c>
      <c r="Q5" s="151">
        <f t="shared" si="2"/>
        <v>1500</v>
      </c>
      <c r="R5" s="151">
        <f t="shared" si="2"/>
        <v>1500</v>
      </c>
      <c r="S5" s="151">
        <f t="shared" si="2"/>
        <v>1500</v>
      </c>
      <c r="T5" s="151">
        <f t="shared" si="2"/>
        <v>1500</v>
      </c>
      <c r="U5" s="151">
        <f t="shared" si="2"/>
        <v>1500</v>
      </c>
      <c r="V5" s="151">
        <f t="shared" si="2"/>
        <v>1500</v>
      </c>
      <c r="W5" s="151">
        <f t="shared" si="2"/>
        <v>1500</v>
      </c>
    </row>
    <row r="6" spans="1:23">
      <c r="A6" s="153">
        <v>4</v>
      </c>
      <c r="B6" s="142" t="s">
        <v>85</v>
      </c>
      <c r="C6" s="154" t="s">
        <v>14</v>
      </c>
      <c r="D6" s="159">
        <v>315779.91</v>
      </c>
      <c r="E6" s="145">
        <v>58.64</v>
      </c>
      <c r="F6" s="156">
        <v>173.11</v>
      </c>
      <c r="G6" s="146" t="s">
        <v>86</v>
      </c>
      <c r="H6" s="146" t="s">
        <v>87</v>
      </c>
      <c r="I6" s="147">
        <v>65000</v>
      </c>
      <c r="J6" s="148">
        <f t="shared" si="0"/>
        <v>0.0084</v>
      </c>
      <c r="K6" s="149">
        <v>0.12</v>
      </c>
      <c r="L6" s="150">
        <f>$D$6*$J$6/2/12</f>
        <v>110.5229685</v>
      </c>
      <c r="M6" s="150">
        <f>$D$6*$J$6/2/12</f>
        <v>110.5229685</v>
      </c>
      <c r="N6" s="160">
        <f>$D$6*$J$6/2/12</f>
        <v>110.5229685</v>
      </c>
      <c r="O6" s="158">
        <f>$I$6/12/2*$K$6</f>
        <v>325</v>
      </c>
      <c r="P6" s="158">
        <f t="shared" ref="P6:W6" si="3">$I$6/12/2*$K$6</f>
        <v>325</v>
      </c>
      <c r="Q6" s="158">
        <f t="shared" si="3"/>
        <v>325</v>
      </c>
      <c r="R6" s="158">
        <f t="shared" si="3"/>
        <v>325</v>
      </c>
      <c r="S6" s="158">
        <f t="shared" si="3"/>
        <v>325</v>
      </c>
      <c r="T6" s="158">
        <f t="shared" si="3"/>
        <v>325</v>
      </c>
      <c r="U6" s="158">
        <f t="shared" si="3"/>
        <v>325</v>
      </c>
      <c r="V6" s="158">
        <f t="shared" si="3"/>
        <v>325</v>
      </c>
      <c r="W6" s="158">
        <f t="shared" si="3"/>
        <v>325</v>
      </c>
    </row>
    <row r="7" spans="1:23">
      <c r="A7" s="141">
        <v>5</v>
      </c>
      <c r="B7" s="161" t="s">
        <v>88</v>
      </c>
      <c r="C7" s="143" t="s">
        <v>89</v>
      </c>
      <c r="D7" s="162">
        <v>130319.19</v>
      </c>
      <c r="E7" s="163">
        <v>24.2</v>
      </c>
      <c r="F7" s="163"/>
      <c r="G7" s="164" t="s">
        <v>90</v>
      </c>
      <c r="H7" s="146" t="s">
        <v>91</v>
      </c>
      <c r="I7" s="147">
        <f>50000</f>
        <v>50000</v>
      </c>
      <c r="J7" s="148">
        <f t="shared" si="0"/>
        <v>0.0084</v>
      </c>
      <c r="K7" s="149">
        <v>0.12</v>
      </c>
      <c r="L7" s="150">
        <f>$D$7*$J$7/2/12</f>
        <v>45.6117165</v>
      </c>
      <c r="M7" s="150">
        <f>$D$7*$J$7/2/12</f>
        <v>45.6117165</v>
      </c>
      <c r="N7" s="158">
        <f>$I$7/12/2*$K$7</f>
        <v>250</v>
      </c>
      <c r="O7" s="158">
        <f t="shared" ref="O7:W7" si="4">$I$7/12/2*$K$7</f>
        <v>250</v>
      </c>
      <c r="P7" s="158">
        <f t="shared" si="4"/>
        <v>250</v>
      </c>
      <c r="Q7" s="158">
        <f t="shared" si="4"/>
        <v>250</v>
      </c>
      <c r="R7" s="158">
        <f t="shared" si="4"/>
        <v>250</v>
      </c>
      <c r="S7" s="158">
        <f t="shared" si="4"/>
        <v>250</v>
      </c>
      <c r="T7" s="158">
        <f t="shared" si="4"/>
        <v>250</v>
      </c>
      <c r="U7" s="158">
        <f t="shared" si="4"/>
        <v>250</v>
      </c>
      <c r="V7" s="158">
        <f t="shared" si="4"/>
        <v>250</v>
      </c>
      <c r="W7" s="158">
        <f t="shared" si="4"/>
        <v>250</v>
      </c>
    </row>
    <row r="8" spans="1:23">
      <c r="A8" s="153">
        <v>6</v>
      </c>
      <c r="B8" s="161" t="s">
        <v>92</v>
      </c>
      <c r="C8" s="143" t="s">
        <v>16</v>
      </c>
      <c r="D8" s="165">
        <v>844541.770938081</v>
      </c>
      <c r="E8" s="163">
        <v>40.72</v>
      </c>
      <c r="F8" s="163">
        <v>687.77</v>
      </c>
      <c r="G8" s="164" t="s">
        <v>93</v>
      </c>
      <c r="H8" s="164" t="s">
        <v>94</v>
      </c>
      <c r="I8" s="147">
        <v>20000</v>
      </c>
      <c r="J8" s="148">
        <f t="shared" si="0"/>
        <v>0.0084</v>
      </c>
      <c r="K8" s="149">
        <v>0.12</v>
      </c>
      <c r="L8" s="150">
        <f>$D$8*$J$8/2/12</f>
        <v>295.589619828328</v>
      </c>
      <c r="M8" s="150">
        <f>$D$8*$J$8/2/12</f>
        <v>295.589619828328</v>
      </c>
      <c r="N8" s="158">
        <f>$I$8/12/2*$K$8</f>
        <v>100</v>
      </c>
      <c r="O8" s="158">
        <f t="shared" ref="O8:W8" si="5">$I$8/12/2*$K$8</f>
        <v>100</v>
      </c>
      <c r="P8" s="158">
        <f t="shared" si="5"/>
        <v>100</v>
      </c>
      <c r="Q8" s="158">
        <f t="shared" si="5"/>
        <v>100</v>
      </c>
      <c r="R8" s="158">
        <f t="shared" si="5"/>
        <v>100</v>
      </c>
      <c r="S8" s="158">
        <f t="shared" si="5"/>
        <v>100</v>
      </c>
      <c r="T8" s="158">
        <f t="shared" si="5"/>
        <v>100</v>
      </c>
      <c r="U8" s="158">
        <f t="shared" si="5"/>
        <v>100</v>
      </c>
      <c r="V8" s="158">
        <f t="shared" si="5"/>
        <v>100</v>
      </c>
      <c r="W8" s="158">
        <f t="shared" si="5"/>
        <v>100</v>
      </c>
    </row>
    <row r="9" spans="1:23">
      <c r="A9" s="141">
        <v>7</v>
      </c>
      <c r="B9" s="166" t="s">
        <v>95</v>
      </c>
      <c r="C9" s="166" t="s">
        <v>17</v>
      </c>
      <c r="D9" s="159">
        <v>24274</v>
      </c>
      <c r="E9" s="145">
        <v>40.72</v>
      </c>
      <c r="F9" s="145">
        <v>38.42</v>
      </c>
      <c r="G9" s="141" t="s">
        <v>96</v>
      </c>
      <c r="H9" s="146" t="s">
        <v>97</v>
      </c>
      <c r="I9" s="147"/>
      <c r="J9" s="148">
        <f t="shared" si="0"/>
        <v>0.0084</v>
      </c>
      <c r="K9" s="149">
        <v>0.12</v>
      </c>
      <c r="L9" s="150">
        <f>$D$9*$J$9/2/12</f>
        <v>8.4959</v>
      </c>
      <c r="M9" s="150">
        <f>$D$9*$J$9/2/12</f>
        <v>8.4959</v>
      </c>
      <c r="N9" s="167"/>
      <c r="O9" s="167"/>
      <c r="P9" s="167"/>
      <c r="Q9" s="167"/>
      <c r="R9" s="168"/>
      <c r="S9" s="168"/>
      <c r="T9" s="168"/>
      <c r="U9" s="168"/>
      <c r="V9" s="168"/>
      <c r="W9" s="168"/>
    </row>
    <row r="10" spans="1:23">
      <c r="A10" s="153">
        <v>8</v>
      </c>
      <c r="B10" s="166" t="s">
        <v>98</v>
      </c>
      <c r="C10" s="166" t="s">
        <v>18</v>
      </c>
      <c r="D10" s="159">
        <v>22903.54</v>
      </c>
      <c r="E10" s="145">
        <v>38.42</v>
      </c>
      <c r="F10" s="145">
        <v>38.42</v>
      </c>
      <c r="G10" s="166" t="s">
        <v>99</v>
      </c>
      <c r="H10" s="146" t="s">
        <v>100</v>
      </c>
      <c r="I10" s="147">
        <v>38000</v>
      </c>
      <c r="J10" s="148">
        <f t="shared" si="0"/>
        <v>0.0084</v>
      </c>
      <c r="K10" s="149">
        <v>0.12</v>
      </c>
      <c r="L10" s="150">
        <f>$D$10*$J$10/2/12</f>
        <v>8.016239</v>
      </c>
      <c r="M10" s="150">
        <f>$D$10*$J$10/2/12</f>
        <v>8.016239</v>
      </c>
      <c r="N10" s="151"/>
      <c r="O10" s="151"/>
      <c r="P10" s="151"/>
      <c r="Q10" s="151"/>
      <c r="R10" s="158"/>
      <c r="S10" s="158"/>
      <c r="T10" s="158"/>
      <c r="U10" s="158"/>
      <c r="V10" s="158"/>
      <c r="W10" s="158"/>
    </row>
    <row r="11" spans="1:23">
      <c r="A11" s="141">
        <v>9</v>
      </c>
      <c r="B11" s="135" t="s">
        <v>101</v>
      </c>
      <c r="C11" s="136" t="s">
        <v>20</v>
      </c>
      <c r="D11" s="169">
        <v>94355.0746308826</v>
      </c>
      <c r="E11" s="170">
        <v>769.62</v>
      </c>
      <c r="F11" s="170">
        <v>38.42</v>
      </c>
      <c r="G11" s="171" t="s">
        <v>102</v>
      </c>
      <c r="H11" s="172" t="s">
        <v>103</v>
      </c>
      <c r="I11" s="147">
        <v>180000</v>
      </c>
      <c r="J11" s="148">
        <f t="shared" si="0"/>
        <v>0.0084</v>
      </c>
      <c r="K11" s="149">
        <v>0.12</v>
      </c>
      <c r="L11" s="150">
        <f t="shared" ref="L11:Q11" si="6">$D$11*$J$11/2/12</f>
        <v>33.0242761208089</v>
      </c>
      <c r="M11" s="150">
        <f t="shared" si="6"/>
        <v>33.0242761208089</v>
      </c>
      <c r="N11" s="150">
        <f t="shared" si="6"/>
        <v>33.0242761208089</v>
      </c>
      <c r="O11" s="150">
        <f t="shared" si="6"/>
        <v>33.0242761208089</v>
      </c>
      <c r="P11" s="150">
        <f t="shared" si="6"/>
        <v>33.0242761208089</v>
      </c>
      <c r="Q11" s="150">
        <f t="shared" si="6"/>
        <v>33.0242761208089</v>
      </c>
      <c r="R11" s="158">
        <f t="shared" ref="R11:W11" si="7">$I$11/12/2*$K$11</f>
        <v>900</v>
      </c>
      <c r="S11" s="158">
        <f t="shared" si="7"/>
        <v>900</v>
      </c>
      <c r="T11" s="158">
        <f t="shared" si="7"/>
        <v>900</v>
      </c>
      <c r="U11" s="158">
        <f t="shared" si="7"/>
        <v>900</v>
      </c>
      <c r="V11" s="158">
        <f t="shared" si="7"/>
        <v>900</v>
      </c>
      <c r="W11" s="158">
        <f t="shared" si="7"/>
        <v>900</v>
      </c>
    </row>
    <row r="12" spans="1:23">
      <c r="A12" s="153">
        <v>10</v>
      </c>
      <c r="B12" s="135" t="s">
        <v>104</v>
      </c>
      <c r="C12" s="136" t="s">
        <v>21</v>
      </c>
      <c r="D12" s="169">
        <v>1848065.2117416</v>
      </c>
      <c r="E12" s="170">
        <v>1505.01</v>
      </c>
      <c r="F12" s="170">
        <v>1505.01</v>
      </c>
      <c r="G12" s="171" t="s">
        <v>105</v>
      </c>
      <c r="H12" s="173"/>
      <c r="I12" s="147">
        <v>60000</v>
      </c>
      <c r="J12" s="148">
        <f t="shared" si="0"/>
        <v>0.0084</v>
      </c>
      <c r="K12" s="149">
        <v>0.12</v>
      </c>
      <c r="L12" s="150">
        <f>$D$12*$J$12/2/12</f>
        <v>646.82282410956</v>
      </c>
      <c r="M12" s="150">
        <f>$D$12*$J$12/2/12</f>
        <v>646.82282410956</v>
      </c>
      <c r="N12" s="150">
        <f>$D$12*$J$12/2/12</f>
        <v>646.82282410956</v>
      </c>
      <c r="O12" s="150">
        <f>$D$12*$J$12/2/12</f>
        <v>646.82282410956</v>
      </c>
      <c r="P12" s="150">
        <f>$D$12*$J$12/2/12</f>
        <v>646.82282410956</v>
      </c>
      <c r="Q12" s="158">
        <f>$I$12/12/2*$K$12</f>
        <v>300</v>
      </c>
      <c r="R12" s="158">
        <f t="shared" ref="R12:W12" si="8">$I$12/12/2*$K$12</f>
        <v>300</v>
      </c>
      <c r="S12" s="158">
        <f t="shared" si="8"/>
        <v>300</v>
      </c>
      <c r="T12" s="158">
        <f t="shared" si="8"/>
        <v>300</v>
      </c>
      <c r="U12" s="158">
        <f t="shared" si="8"/>
        <v>300</v>
      </c>
      <c r="V12" s="158">
        <f t="shared" si="8"/>
        <v>300</v>
      </c>
      <c r="W12" s="158">
        <f t="shared" si="8"/>
        <v>300</v>
      </c>
    </row>
    <row r="13" spans="1:23">
      <c r="A13" s="141">
        <v>11</v>
      </c>
      <c r="B13" s="174" t="s">
        <v>106</v>
      </c>
      <c r="C13" s="174" t="s">
        <v>107</v>
      </c>
      <c r="D13" s="174"/>
      <c r="E13" s="174">
        <v>4</v>
      </c>
      <c r="F13" s="174"/>
      <c r="G13" s="174" t="s">
        <v>108</v>
      </c>
      <c r="H13" s="174"/>
      <c r="I13" s="147">
        <v>9000</v>
      </c>
      <c r="J13" s="148">
        <f t="shared" si="0"/>
        <v>0.0084</v>
      </c>
      <c r="K13" s="149">
        <v>0.12</v>
      </c>
      <c r="L13" s="158">
        <f>$D$13*$J$13/2/12</f>
        <v>0</v>
      </c>
      <c r="M13" s="158">
        <f>$D$13*$J$13/2/12</f>
        <v>0</v>
      </c>
      <c r="N13" s="158">
        <f>$I$13/12/2*$K$13</f>
        <v>45</v>
      </c>
      <c r="O13" s="158">
        <f t="shared" ref="O13:W13" si="9">$I$13/12/2*$K$13</f>
        <v>45</v>
      </c>
      <c r="P13" s="158">
        <f t="shared" si="9"/>
        <v>45</v>
      </c>
      <c r="Q13" s="158">
        <f t="shared" si="9"/>
        <v>45</v>
      </c>
      <c r="R13" s="158">
        <f t="shared" si="9"/>
        <v>45</v>
      </c>
      <c r="S13" s="158">
        <f t="shared" si="9"/>
        <v>45</v>
      </c>
      <c r="T13" s="158">
        <f t="shared" si="9"/>
        <v>45</v>
      </c>
      <c r="U13" s="158">
        <f t="shared" si="9"/>
        <v>45</v>
      </c>
      <c r="V13" s="158">
        <f t="shared" si="9"/>
        <v>45</v>
      </c>
      <c r="W13" s="158">
        <f t="shared" si="9"/>
        <v>45</v>
      </c>
    </row>
    <row r="14" spans="1:23">
      <c r="A14" s="149"/>
      <c r="B14" s="149"/>
      <c r="C14" s="149"/>
      <c r="D14" s="149"/>
      <c r="E14" s="149"/>
      <c r="F14" s="149"/>
      <c r="G14" s="149"/>
      <c r="H14" s="149" t="s">
        <v>22</v>
      </c>
      <c r="I14" s="149">
        <f>SUM(I3:I13)</f>
        <v>843699.728</v>
      </c>
      <c r="J14" s="149"/>
      <c r="K14" s="149"/>
      <c r="L14" s="149">
        <f>SUM(L3:L13)</f>
        <v>2795.25302443413</v>
      </c>
      <c r="M14" s="149">
        <f t="shared" ref="M14:W14" si="10">SUM(M3:M13)</f>
        <v>2795.25302443413</v>
      </c>
      <c r="N14" s="149">
        <f t="shared" si="10"/>
        <v>3293.86870873037</v>
      </c>
      <c r="O14" s="149">
        <f t="shared" si="10"/>
        <v>3508.34574023037</v>
      </c>
      <c r="P14" s="149">
        <f t="shared" si="10"/>
        <v>3508.34574023037</v>
      </c>
      <c r="Q14" s="149">
        <f t="shared" si="10"/>
        <v>3161.52291612081</v>
      </c>
      <c r="R14" s="149">
        <f t="shared" si="10"/>
        <v>4028.49864</v>
      </c>
      <c r="S14" s="149">
        <f t="shared" si="10"/>
        <v>3649.1706</v>
      </c>
      <c r="T14" s="149">
        <f t="shared" si="10"/>
        <v>3420</v>
      </c>
      <c r="U14" s="149">
        <f t="shared" si="10"/>
        <v>3420</v>
      </c>
      <c r="V14" s="149">
        <f t="shared" si="10"/>
        <v>3420</v>
      </c>
      <c r="W14" s="149">
        <f t="shared" si="10"/>
        <v>3420</v>
      </c>
    </row>
    <row r="15" ht="17.4" spans="1:23">
      <c r="B15" s="134" t="s">
        <v>109</v>
      </c>
      <c r="F15" s="133"/>
      <c r="G15" s="133"/>
    </row>
    <row r="16" spans="1:23">
      <c r="A16" s="175" t="s">
        <v>54</v>
      </c>
      <c r="B16" s="175" t="s">
        <v>55</v>
      </c>
      <c r="C16" s="175" t="s">
        <v>56</v>
      </c>
      <c r="D16" s="175" t="s">
        <v>5</v>
      </c>
      <c r="E16" s="175" t="s">
        <v>110</v>
      </c>
      <c r="F16" s="175" t="s">
        <v>58</v>
      </c>
      <c r="G16" s="175" t="s">
        <v>59</v>
      </c>
      <c r="H16" s="176" t="s">
        <v>60</v>
      </c>
      <c r="I16" s="177" t="s">
        <v>61</v>
      </c>
      <c r="J16" s="178" t="s">
        <v>62</v>
      </c>
      <c r="K16" s="178" t="s">
        <v>63</v>
      </c>
      <c r="L16" s="140" t="s">
        <v>64</v>
      </c>
      <c r="M16" s="140" t="s">
        <v>65</v>
      </c>
      <c r="N16" s="140" t="s">
        <v>66</v>
      </c>
      <c r="O16" s="140" t="s">
        <v>67</v>
      </c>
      <c r="P16" s="140" t="s">
        <v>68</v>
      </c>
      <c r="Q16" s="140" t="s">
        <v>69</v>
      </c>
      <c r="R16" s="140" t="s">
        <v>70</v>
      </c>
      <c r="S16" s="140" t="s">
        <v>71</v>
      </c>
      <c r="T16" s="140" t="s">
        <v>72</v>
      </c>
      <c r="U16" s="140" t="s">
        <v>73</v>
      </c>
      <c r="V16" s="140" t="s">
        <v>74</v>
      </c>
      <c r="W16" s="140" t="s">
        <v>75</v>
      </c>
    </row>
    <row r="17" spans="1:23">
      <c r="A17" s="179">
        <v>1</v>
      </c>
      <c r="B17" s="180" t="s">
        <v>111</v>
      </c>
      <c r="C17" s="181" t="s">
        <v>112</v>
      </c>
      <c r="D17" s="182"/>
      <c r="E17" s="183">
        <v>100</v>
      </c>
      <c r="F17" s="183"/>
      <c r="G17" s="183" t="s">
        <v>113</v>
      </c>
      <c r="H17" s="182"/>
      <c r="I17" s="160"/>
      <c r="J17" s="184">
        <f t="shared" ref="J17:J53" si="11">70%*0.012</f>
        <v>0.0084</v>
      </c>
      <c r="K17" s="185">
        <v>0.12</v>
      </c>
      <c r="L17" s="186">
        <v>2978.5</v>
      </c>
      <c r="M17" s="186"/>
      <c r="N17" s="187"/>
      <c r="O17" s="186">
        <v>5685.02</v>
      </c>
      <c r="P17" s="186"/>
      <c r="Q17" s="186"/>
      <c r="R17" s="188"/>
      <c r="S17" s="188"/>
      <c r="T17" s="188"/>
      <c r="U17" s="188"/>
      <c r="V17" s="188"/>
      <c r="W17" s="188"/>
    </row>
    <row r="18" spans="1:23">
      <c r="A18" s="179">
        <v>2</v>
      </c>
      <c r="B18" s="180" t="s">
        <v>114</v>
      </c>
      <c r="C18" s="181" t="s">
        <v>115</v>
      </c>
      <c r="D18" s="182"/>
      <c r="E18" s="183">
        <v>49.56</v>
      </c>
      <c r="F18" s="183"/>
      <c r="G18" s="183" t="s">
        <v>116</v>
      </c>
      <c r="H18" s="182"/>
      <c r="I18" s="160"/>
      <c r="J18" s="184">
        <f t="shared" si="11"/>
        <v>0.0084</v>
      </c>
      <c r="K18" s="185">
        <v>0.12</v>
      </c>
      <c r="L18" s="186"/>
      <c r="M18" s="186"/>
      <c r="N18" s="187"/>
      <c r="O18" s="186"/>
      <c r="P18" s="186"/>
      <c r="Q18" s="186"/>
      <c r="R18" s="188"/>
      <c r="S18" s="188"/>
      <c r="T18" s="188"/>
      <c r="U18" s="188"/>
      <c r="V18" s="188"/>
      <c r="W18" s="188"/>
    </row>
    <row r="19" spans="1:23">
      <c r="A19" s="179">
        <v>3</v>
      </c>
      <c r="B19" s="180" t="s">
        <v>117</v>
      </c>
      <c r="C19" s="181" t="s">
        <v>118</v>
      </c>
      <c r="D19" s="182"/>
      <c r="E19" s="183">
        <v>38.96</v>
      </c>
      <c r="F19" s="181"/>
      <c r="G19" s="181" t="s">
        <v>119</v>
      </c>
      <c r="H19" s="182"/>
      <c r="I19" s="160"/>
      <c r="J19" s="184">
        <f t="shared" si="11"/>
        <v>0.0084</v>
      </c>
      <c r="K19" s="185">
        <v>0.12</v>
      </c>
      <c r="L19" s="186"/>
      <c r="M19" s="186"/>
      <c r="N19" s="187"/>
      <c r="O19" s="186"/>
      <c r="P19" s="186"/>
      <c r="Q19" s="186"/>
      <c r="R19" s="188"/>
      <c r="S19" s="188"/>
      <c r="T19" s="188"/>
      <c r="U19" s="188"/>
      <c r="V19" s="188"/>
      <c r="W19" s="188"/>
    </row>
    <row r="20" spans="1:23">
      <c r="A20" s="179">
        <v>4</v>
      </c>
      <c r="B20" s="180" t="s">
        <v>120</v>
      </c>
      <c r="C20" s="181" t="s">
        <v>121</v>
      </c>
      <c r="D20" s="182"/>
      <c r="E20" s="183">
        <v>76.32</v>
      </c>
      <c r="F20" s="181"/>
      <c r="G20" s="181" t="s">
        <v>122</v>
      </c>
      <c r="H20" s="182"/>
      <c r="I20" s="160"/>
      <c r="J20" s="184">
        <f t="shared" si="11"/>
        <v>0.0084</v>
      </c>
      <c r="K20" s="185">
        <v>0.12</v>
      </c>
      <c r="L20" s="186"/>
      <c r="M20" s="186"/>
      <c r="N20" s="187"/>
      <c r="O20" s="186"/>
      <c r="P20" s="186"/>
      <c r="Q20" s="186"/>
      <c r="R20" s="188"/>
      <c r="S20" s="188"/>
      <c r="T20" s="188"/>
      <c r="U20" s="188"/>
      <c r="V20" s="188"/>
      <c r="W20" s="188"/>
    </row>
    <row r="21" spans="1:23">
      <c r="A21" s="179">
        <v>5</v>
      </c>
      <c r="B21" s="180" t="s">
        <v>123</v>
      </c>
      <c r="C21" s="181" t="s">
        <v>124</v>
      </c>
      <c r="D21" s="182"/>
      <c r="E21" s="183">
        <v>49.32</v>
      </c>
      <c r="F21" s="181"/>
      <c r="G21" s="181" t="s">
        <v>125</v>
      </c>
      <c r="H21" s="182"/>
      <c r="I21" s="160">
        <v>37468</v>
      </c>
      <c r="J21" s="184">
        <f t="shared" si="11"/>
        <v>0.0084</v>
      </c>
      <c r="K21" s="185">
        <v>0.12</v>
      </c>
      <c r="L21" s="186"/>
      <c r="M21" s="186"/>
      <c r="N21" s="187"/>
      <c r="O21" s="186"/>
      <c r="P21" s="186"/>
      <c r="Q21" s="186"/>
      <c r="R21" s="158">
        <f t="shared" ref="R21:W21" si="12">$I$21/12/2*$K$21</f>
        <v>187.34</v>
      </c>
      <c r="S21" s="158">
        <f t="shared" si="12"/>
        <v>187.34</v>
      </c>
      <c r="T21" s="158">
        <f t="shared" si="12"/>
        <v>187.34</v>
      </c>
      <c r="U21" s="158">
        <f t="shared" si="12"/>
        <v>187.34</v>
      </c>
      <c r="V21" s="158">
        <f t="shared" si="12"/>
        <v>187.34</v>
      </c>
      <c r="W21" s="158">
        <f t="shared" si="12"/>
        <v>187.34</v>
      </c>
    </row>
    <row r="22" spans="1:23">
      <c r="A22" s="179">
        <v>6</v>
      </c>
      <c r="B22" s="180" t="s">
        <v>126</v>
      </c>
      <c r="C22" s="181" t="s">
        <v>127</v>
      </c>
      <c r="D22" s="182"/>
      <c r="E22" s="183">
        <v>22.24</v>
      </c>
      <c r="F22" s="181"/>
      <c r="G22" s="181" t="s">
        <v>128</v>
      </c>
      <c r="H22" s="182"/>
      <c r="I22" s="160">
        <v>14012</v>
      </c>
      <c r="J22" s="184">
        <f t="shared" si="11"/>
        <v>0.0084</v>
      </c>
      <c r="K22" s="185">
        <v>0.12</v>
      </c>
      <c r="L22" s="186"/>
      <c r="M22" s="186"/>
      <c r="N22" s="187"/>
      <c r="O22" s="186"/>
      <c r="P22" s="186"/>
      <c r="Q22" s="186"/>
      <c r="R22" s="158">
        <f t="shared" ref="R22:W22" si="13">$I22/12/2*$K22</f>
        <v>70.06</v>
      </c>
      <c r="S22" s="158">
        <f t="shared" si="13"/>
        <v>70.06</v>
      </c>
      <c r="T22" s="158">
        <f t="shared" si="13"/>
        <v>70.06</v>
      </c>
      <c r="U22" s="158">
        <f t="shared" si="13"/>
        <v>70.06</v>
      </c>
      <c r="V22" s="158">
        <f t="shared" si="13"/>
        <v>70.06</v>
      </c>
      <c r="W22" s="158">
        <f t="shared" si="13"/>
        <v>70.06</v>
      </c>
    </row>
    <row r="23" spans="1:23">
      <c r="A23" s="179">
        <v>7</v>
      </c>
      <c r="B23" s="180" t="s">
        <v>129</v>
      </c>
      <c r="C23" s="181" t="s">
        <v>130</v>
      </c>
      <c r="D23" s="182"/>
      <c r="E23" s="183">
        <v>22.24</v>
      </c>
      <c r="F23" s="181"/>
      <c r="G23" s="181" t="s">
        <v>122</v>
      </c>
      <c r="H23" s="182"/>
      <c r="I23" s="160"/>
      <c r="J23" s="184">
        <f t="shared" si="11"/>
        <v>0.0084</v>
      </c>
      <c r="K23" s="185">
        <v>0.12</v>
      </c>
      <c r="L23" s="186"/>
      <c r="M23" s="186"/>
      <c r="N23" s="187"/>
      <c r="O23" s="186"/>
      <c r="P23" s="186"/>
      <c r="Q23" s="186"/>
      <c r="R23" s="188"/>
      <c r="S23" s="188"/>
      <c r="T23" s="188"/>
      <c r="U23" s="188"/>
      <c r="V23" s="188"/>
      <c r="W23" s="188"/>
    </row>
    <row r="24" spans="1:23">
      <c r="A24" s="179">
        <v>8</v>
      </c>
      <c r="B24" s="180" t="s">
        <v>126</v>
      </c>
      <c r="C24" s="181" t="s">
        <v>131</v>
      </c>
      <c r="D24" s="182"/>
      <c r="E24" s="183">
        <v>41.74</v>
      </c>
      <c r="F24" s="181"/>
      <c r="G24" s="181" t="s">
        <v>132</v>
      </c>
      <c r="H24" s="182"/>
      <c r="I24" s="160">
        <v>22089</v>
      </c>
      <c r="J24" s="184">
        <f t="shared" si="11"/>
        <v>0.0084</v>
      </c>
      <c r="K24" s="185">
        <v>0.12</v>
      </c>
      <c r="L24" s="186"/>
      <c r="M24" s="186"/>
      <c r="N24" s="150">
        <v>300</v>
      </c>
      <c r="O24" s="186"/>
      <c r="P24" s="186"/>
      <c r="Q24" s="186"/>
      <c r="R24" s="158">
        <f t="shared" ref="M24:W24" si="14">$I$24/12/2*$K$24</f>
        <v>110.445</v>
      </c>
      <c r="S24" s="158">
        <f t="shared" si="14"/>
        <v>110.445</v>
      </c>
      <c r="T24" s="158">
        <f t="shared" si="14"/>
        <v>110.445</v>
      </c>
      <c r="U24" s="158">
        <f t="shared" si="14"/>
        <v>110.445</v>
      </c>
      <c r="V24" s="158">
        <f t="shared" si="14"/>
        <v>110.445</v>
      </c>
      <c r="W24" s="158">
        <f t="shared" si="14"/>
        <v>110.445</v>
      </c>
    </row>
    <row r="25" spans="1:23">
      <c r="A25" s="179">
        <v>9</v>
      </c>
      <c r="B25" s="180" t="s">
        <v>133</v>
      </c>
      <c r="C25" s="181" t="s">
        <v>134</v>
      </c>
      <c r="D25" s="182"/>
      <c r="E25" s="183">
        <v>41.74</v>
      </c>
      <c r="F25" s="181"/>
      <c r="G25" s="181" t="s">
        <v>135</v>
      </c>
      <c r="H25" s="182"/>
      <c r="I25" s="160">
        <v>22089</v>
      </c>
      <c r="J25" s="184">
        <f t="shared" si="11"/>
        <v>0.0084</v>
      </c>
      <c r="K25" s="185">
        <v>0.12</v>
      </c>
      <c r="L25" s="186"/>
      <c r="M25" s="186"/>
      <c r="N25" s="187"/>
      <c r="O25" s="186"/>
      <c r="P25" s="186"/>
      <c r="Q25" s="186"/>
      <c r="R25" s="158">
        <f t="shared" ref="R25:R30" si="15">$I25/12/2*$K25</f>
        <v>110.445</v>
      </c>
      <c r="S25" s="158">
        <f>$I25/12/2*$K25</f>
        <v>110.445</v>
      </c>
      <c r="T25" s="158">
        <f>$I25/12/2*$K25</f>
        <v>110.445</v>
      </c>
      <c r="U25" s="158">
        <f>$I25/12/2*$K25</f>
        <v>110.445</v>
      </c>
      <c r="V25" s="158">
        <f>$I25/12/2*$K25</f>
        <v>110.445</v>
      </c>
      <c r="W25" s="158">
        <f>$I25/12/2*$K25</f>
        <v>110.445</v>
      </c>
    </row>
    <row r="26" spans="1:23">
      <c r="A26" s="179">
        <v>10</v>
      </c>
      <c r="B26" s="180" t="s">
        <v>136</v>
      </c>
      <c r="C26" s="181" t="s">
        <v>137</v>
      </c>
      <c r="D26" s="182"/>
      <c r="E26" s="183">
        <v>22.24</v>
      </c>
      <c r="F26" s="181"/>
      <c r="G26" s="181" t="s">
        <v>138</v>
      </c>
      <c r="H26" s="182"/>
      <c r="I26" s="160"/>
      <c r="J26" s="184">
        <f t="shared" si="11"/>
        <v>0.0084</v>
      </c>
      <c r="K26" s="185">
        <v>0.12</v>
      </c>
      <c r="L26" s="186"/>
      <c r="M26" s="186"/>
      <c r="N26" s="187"/>
      <c r="O26" s="186"/>
      <c r="P26" s="186"/>
      <c r="Q26" s="186"/>
      <c r="R26" s="188"/>
      <c r="S26" s="188"/>
      <c r="T26" s="188"/>
      <c r="U26" s="188"/>
      <c r="V26" s="188"/>
      <c r="W26" s="188"/>
    </row>
    <row r="27" spans="1:23">
      <c r="A27" s="179">
        <v>11</v>
      </c>
      <c r="B27" s="180" t="s">
        <v>139</v>
      </c>
      <c r="C27" s="181" t="s">
        <v>140</v>
      </c>
      <c r="D27" s="182"/>
      <c r="E27" s="183">
        <v>22.24</v>
      </c>
      <c r="F27" s="181"/>
      <c r="G27" s="181" t="s">
        <v>141</v>
      </c>
      <c r="H27" s="182"/>
      <c r="I27" s="160"/>
      <c r="J27" s="184">
        <f t="shared" si="11"/>
        <v>0.0084</v>
      </c>
      <c r="K27" s="185">
        <v>0.12</v>
      </c>
      <c r="L27" s="186"/>
      <c r="M27" s="186"/>
      <c r="N27" s="187"/>
      <c r="O27" s="186"/>
      <c r="P27" s="186"/>
      <c r="Q27" s="186"/>
      <c r="R27" s="188"/>
      <c r="S27" s="188"/>
      <c r="T27" s="188"/>
      <c r="U27" s="188"/>
      <c r="V27" s="188"/>
      <c r="W27" s="188"/>
    </row>
    <row r="28" spans="1:23">
      <c r="A28" s="179">
        <v>12</v>
      </c>
      <c r="B28" s="180" t="s">
        <v>142</v>
      </c>
      <c r="C28" s="181" t="s">
        <v>143</v>
      </c>
      <c r="D28" s="182"/>
      <c r="E28" s="183">
        <v>71.72</v>
      </c>
      <c r="F28" s="181"/>
      <c r="G28" s="181" t="s">
        <v>144</v>
      </c>
      <c r="H28" s="182"/>
      <c r="I28" s="160"/>
      <c r="J28" s="184">
        <f t="shared" si="11"/>
        <v>0.0084</v>
      </c>
      <c r="K28" s="185">
        <v>0.12</v>
      </c>
      <c r="L28" s="186"/>
      <c r="M28" s="186"/>
      <c r="N28" s="187"/>
      <c r="O28" s="186"/>
      <c r="P28" s="186"/>
      <c r="Q28" s="186"/>
      <c r="R28" s="188"/>
      <c r="S28" s="188"/>
      <c r="T28" s="188"/>
      <c r="U28" s="188"/>
      <c r="V28" s="188"/>
      <c r="W28" s="188"/>
    </row>
    <row r="29" spans="1:23">
      <c r="A29" s="179">
        <v>13</v>
      </c>
      <c r="B29" s="180" t="s">
        <v>145</v>
      </c>
      <c r="C29" s="181" t="s">
        <v>146</v>
      </c>
      <c r="D29" s="182"/>
      <c r="E29" s="183">
        <v>41.74</v>
      </c>
      <c r="F29" s="183"/>
      <c r="G29" s="183" t="s">
        <v>147</v>
      </c>
      <c r="H29" s="182"/>
      <c r="I29" s="160">
        <v>22089</v>
      </c>
      <c r="J29" s="184">
        <f t="shared" si="11"/>
        <v>0.0084</v>
      </c>
      <c r="K29" s="185">
        <v>0.12</v>
      </c>
      <c r="L29" s="186"/>
      <c r="M29" s="186"/>
      <c r="N29" s="187"/>
      <c r="O29" s="186"/>
      <c r="P29" s="186"/>
      <c r="Q29" s="186"/>
      <c r="R29" s="158">
        <f t="shared" si="15"/>
        <v>110.445</v>
      </c>
      <c r="S29" s="158">
        <f>$I29/12/2*$K29</f>
        <v>110.445</v>
      </c>
      <c r="T29" s="158">
        <f>$I29/12/2*$K29</f>
        <v>110.445</v>
      </c>
      <c r="U29" s="158">
        <f>$I29/12/2*$K29</f>
        <v>110.445</v>
      </c>
      <c r="V29" s="158">
        <f>$I29/12/2*$K29</f>
        <v>110.445</v>
      </c>
      <c r="W29" s="158">
        <f>$I29/12/2*$K29</f>
        <v>110.445</v>
      </c>
    </row>
    <row r="30" spans="1:23">
      <c r="A30" s="179">
        <v>14</v>
      </c>
      <c r="B30" s="180" t="s">
        <v>148</v>
      </c>
      <c r="C30" s="189" t="s">
        <v>149</v>
      </c>
      <c r="D30" s="182"/>
      <c r="E30" s="183">
        <v>53</v>
      </c>
      <c r="F30" s="183"/>
      <c r="G30" s="183" t="s">
        <v>150</v>
      </c>
      <c r="H30" s="182"/>
      <c r="I30" s="160">
        <v>20034</v>
      </c>
      <c r="J30" s="184">
        <f t="shared" si="11"/>
        <v>0.0084</v>
      </c>
      <c r="K30" s="185">
        <v>0.12</v>
      </c>
      <c r="L30" s="186"/>
      <c r="M30" s="186"/>
      <c r="N30" s="187"/>
      <c r="O30" s="186"/>
      <c r="P30" s="186"/>
      <c r="Q30" s="186"/>
      <c r="R30" s="158">
        <f t="shared" si="15"/>
        <v>100.17</v>
      </c>
      <c r="S30" s="158">
        <f>$I30/12/2*$K30</f>
        <v>100.17</v>
      </c>
      <c r="T30" s="158">
        <f>$I30/12/2*$K30</f>
        <v>100.17</v>
      </c>
      <c r="U30" s="158">
        <f>$I30/12/2*$K30</f>
        <v>100.17</v>
      </c>
      <c r="V30" s="158">
        <f>$I30/12/2*$K30</f>
        <v>100.17</v>
      </c>
      <c r="W30" s="188"/>
    </row>
    <row r="31" spans="1:23">
      <c r="A31" s="179">
        <v>15</v>
      </c>
      <c r="B31" s="180" t="s">
        <v>151</v>
      </c>
      <c r="C31" s="181" t="s">
        <v>152</v>
      </c>
      <c r="D31" s="182"/>
      <c r="E31" s="183">
        <v>41.74</v>
      </c>
      <c r="F31" s="181"/>
      <c r="G31" s="181" t="s">
        <v>153</v>
      </c>
      <c r="H31" s="182"/>
      <c r="I31" s="160"/>
      <c r="J31" s="184">
        <f t="shared" si="11"/>
        <v>0.0084</v>
      </c>
      <c r="K31" s="185">
        <v>0.12</v>
      </c>
      <c r="L31" s="186"/>
      <c r="M31" s="186"/>
      <c r="N31" s="187"/>
      <c r="O31" s="186"/>
      <c r="P31" s="186"/>
      <c r="Q31" s="186"/>
      <c r="R31" s="188"/>
      <c r="S31" s="188"/>
      <c r="T31" s="188"/>
      <c r="U31" s="188"/>
      <c r="V31" s="188"/>
      <c r="W31" s="188"/>
    </row>
    <row r="32" spans="1:23">
      <c r="A32" s="179">
        <v>16</v>
      </c>
      <c r="B32" s="180" t="s">
        <v>154</v>
      </c>
      <c r="C32" s="181" t="s">
        <v>155</v>
      </c>
      <c r="D32" s="182"/>
      <c r="E32" s="183">
        <v>41.74</v>
      </c>
      <c r="F32" s="181"/>
      <c r="G32" s="181" t="s">
        <v>156</v>
      </c>
      <c r="H32" s="182"/>
      <c r="I32" s="160"/>
      <c r="J32" s="184">
        <f t="shared" si="11"/>
        <v>0.0084</v>
      </c>
      <c r="K32" s="185">
        <v>0.12</v>
      </c>
      <c r="L32" s="186"/>
      <c r="M32" s="186"/>
      <c r="N32" s="187"/>
      <c r="O32" s="186"/>
      <c r="P32" s="186"/>
      <c r="Q32" s="186"/>
      <c r="R32" s="188"/>
      <c r="S32" s="188"/>
      <c r="T32" s="188"/>
      <c r="U32" s="188"/>
      <c r="V32" s="188"/>
      <c r="W32" s="188"/>
    </row>
    <row r="33" spans="1:23">
      <c r="A33" s="179">
        <v>17</v>
      </c>
      <c r="B33" s="180" t="s">
        <v>157</v>
      </c>
      <c r="C33" s="181" t="s">
        <v>158</v>
      </c>
      <c r="D33" s="182"/>
      <c r="E33" s="183">
        <v>41.74</v>
      </c>
      <c r="F33" s="183"/>
      <c r="G33" s="183" t="s">
        <v>159</v>
      </c>
      <c r="H33" s="182"/>
      <c r="I33" s="160">
        <v>19880</v>
      </c>
      <c r="J33" s="184">
        <f t="shared" si="11"/>
        <v>0.0084</v>
      </c>
      <c r="K33" s="185">
        <v>0.12</v>
      </c>
      <c r="L33" s="186"/>
      <c r="M33" s="186"/>
      <c r="N33" s="187"/>
      <c r="O33" s="186"/>
      <c r="P33" s="186"/>
      <c r="Q33" s="186"/>
      <c r="R33" s="158">
        <f t="shared" ref="R33:R38" si="16">$I33/12/2*$K33</f>
        <v>99.4</v>
      </c>
      <c r="S33" s="158">
        <f>$I33/12/2*$K33</f>
        <v>99.4</v>
      </c>
      <c r="T33" s="158">
        <f>$I33/12/2*$K33</f>
        <v>99.4</v>
      </c>
      <c r="U33" s="158">
        <f>$I33/12/2*$K33</f>
        <v>99.4</v>
      </c>
      <c r="V33" s="158">
        <f>$I33/12/2*$K33</f>
        <v>99.4</v>
      </c>
      <c r="W33" s="188"/>
    </row>
    <row r="34" spans="1:23">
      <c r="A34" s="179">
        <v>18</v>
      </c>
      <c r="B34" s="180" t="s">
        <v>160</v>
      </c>
      <c r="C34" s="181" t="s">
        <v>161</v>
      </c>
      <c r="D34" s="182"/>
      <c r="E34" s="183">
        <v>41.74</v>
      </c>
      <c r="F34" s="181"/>
      <c r="G34" s="181" t="s">
        <v>108</v>
      </c>
      <c r="H34" s="182"/>
      <c r="I34" s="160"/>
      <c r="J34" s="184">
        <f t="shared" si="11"/>
        <v>0.0084</v>
      </c>
      <c r="K34" s="185">
        <v>0.12</v>
      </c>
      <c r="L34" s="186"/>
      <c r="M34" s="186"/>
      <c r="N34" s="187"/>
      <c r="O34" s="186"/>
      <c r="P34" s="186"/>
      <c r="Q34" s="186"/>
      <c r="R34" s="188"/>
      <c r="S34" s="188"/>
      <c r="T34" s="188"/>
      <c r="U34" s="188"/>
      <c r="V34" s="188"/>
      <c r="W34" s="188"/>
    </row>
    <row r="35" spans="1:23">
      <c r="A35" s="179">
        <v>19</v>
      </c>
      <c r="B35" s="180" t="s">
        <v>111</v>
      </c>
      <c r="C35" s="181" t="s">
        <v>162</v>
      </c>
      <c r="D35" s="182"/>
      <c r="E35" s="183">
        <v>42.9</v>
      </c>
      <c r="F35" s="183"/>
      <c r="G35" s="183" t="s">
        <v>163</v>
      </c>
      <c r="H35" s="182"/>
      <c r="I35" s="160"/>
      <c r="J35" s="184">
        <f t="shared" si="11"/>
        <v>0.0084</v>
      </c>
      <c r="K35" s="185">
        <v>0.12</v>
      </c>
      <c r="L35" s="186"/>
      <c r="M35" s="186"/>
      <c r="N35" s="187"/>
      <c r="O35" s="186"/>
      <c r="P35" s="186"/>
      <c r="Q35" s="186"/>
      <c r="R35" s="188"/>
      <c r="S35" s="188"/>
      <c r="T35" s="188"/>
      <c r="U35" s="188"/>
      <c r="V35" s="188"/>
      <c r="W35" s="188"/>
    </row>
    <row r="36" spans="1:23">
      <c r="A36" s="179">
        <v>20</v>
      </c>
      <c r="B36" s="180" t="s">
        <v>164</v>
      </c>
      <c r="C36" s="181" t="s">
        <v>165</v>
      </c>
      <c r="D36" s="182"/>
      <c r="E36" s="183">
        <v>38.28</v>
      </c>
      <c r="F36" s="183"/>
      <c r="G36" s="183" t="s">
        <v>166</v>
      </c>
      <c r="H36" s="182"/>
      <c r="I36" s="160">
        <v>19562</v>
      </c>
      <c r="J36" s="184">
        <f t="shared" si="11"/>
        <v>0.0084</v>
      </c>
      <c r="K36" s="185">
        <v>0.12</v>
      </c>
      <c r="L36" s="186"/>
      <c r="M36" s="186"/>
      <c r="N36" s="187"/>
      <c r="O36" s="186"/>
      <c r="P36" s="186"/>
      <c r="Q36" s="186"/>
      <c r="R36" s="158">
        <f t="shared" si="16"/>
        <v>97.81</v>
      </c>
      <c r="S36" s="158">
        <f>$I36/12/2*$K36</f>
        <v>97.81</v>
      </c>
      <c r="T36" s="158">
        <f>$I36/12/2*$K36</f>
        <v>97.81</v>
      </c>
      <c r="U36" s="158">
        <f>$I36/12/2*$K36</f>
        <v>97.81</v>
      </c>
      <c r="V36" s="158">
        <f>$I36/12/2*$K36</f>
        <v>97.81</v>
      </c>
      <c r="W36" s="158">
        <f>$I36/12/2*$K36</f>
        <v>97.81</v>
      </c>
    </row>
    <row r="37" spans="1:23">
      <c r="A37" s="179">
        <v>21</v>
      </c>
      <c r="B37" s="180" t="s">
        <v>120</v>
      </c>
      <c r="C37" s="181" t="s">
        <v>167</v>
      </c>
      <c r="D37" s="182"/>
      <c r="E37" s="183">
        <v>37.86</v>
      </c>
      <c r="F37" s="183"/>
      <c r="G37" s="183" t="s">
        <v>166</v>
      </c>
      <c r="H37" s="182"/>
      <c r="I37" s="160">
        <v>19347</v>
      </c>
      <c r="J37" s="184">
        <f t="shared" si="11"/>
        <v>0.0084</v>
      </c>
      <c r="K37" s="185">
        <v>0.12</v>
      </c>
      <c r="L37" s="186"/>
      <c r="M37" s="186"/>
      <c r="N37" s="187"/>
      <c r="O37" s="186"/>
      <c r="P37" s="186"/>
      <c r="Q37" s="186"/>
      <c r="R37" s="158">
        <f t="shared" si="16"/>
        <v>96.735</v>
      </c>
      <c r="S37" s="158">
        <f>$I37/12/2*$K37</f>
        <v>96.735</v>
      </c>
      <c r="T37" s="158">
        <f>$I37/12/2*$K37</f>
        <v>96.735</v>
      </c>
      <c r="U37" s="158">
        <f>$I37/12/2*$K37</f>
        <v>96.735</v>
      </c>
      <c r="V37" s="158">
        <f>$I37/12/2*$K37</f>
        <v>96.735</v>
      </c>
      <c r="W37" s="158">
        <f>$I37/12/2*$K37</f>
        <v>96.735</v>
      </c>
    </row>
    <row r="38" spans="1:23">
      <c r="A38" s="179">
        <v>22</v>
      </c>
      <c r="B38" s="180" t="s">
        <v>126</v>
      </c>
      <c r="C38" s="190" t="s">
        <v>168</v>
      </c>
      <c r="D38" s="182"/>
      <c r="E38" s="183">
        <v>122.48</v>
      </c>
      <c r="F38" s="183"/>
      <c r="G38" s="183" t="s">
        <v>169</v>
      </c>
      <c r="H38" s="182"/>
      <c r="I38" s="160">
        <v>54014</v>
      </c>
      <c r="J38" s="184">
        <f t="shared" si="11"/>
        <v>0.0084</v>
      </c>
      <c r="K38" s="185">
        <v>0.12</v>
      </c>
      <c r="L38" s="186"/>
      <c r="M38" s="186"/>
      <c r="N38" s="187"/>
      <c r="O38" s="186"/>
      <c r="P38" s="186"/>
      <c r="Q38" s="186"/>
      <c r="R38" s="158">
        <f t="shared" si="16"/>
        <v>270.07</v>
      </c>
      <c r="S38" s="158">
        <f>$I38/12/2*$K38</f>
        <v>270.07</v>
      </c>
      <c r="T38" s="158">
        <f>$I38/12/2*$K38</f>
        <v>270.07</v>
      </c>
      <c r="U38" s="158">
        <f>$I38/12/2*$K38</f>
        <v>270.07</v>
      </c>
      <c r="V38" s="158">
        <f>$I38/12/2*$K38</f>
        <v>270.07</v>
      </c>
      <c r="W38" s="158">
        <f>$I38/12/2*$K38</f>
        <v>270.07</v>
      </c>
    </row>
    <row r="39" spans="1:23">
      <c r="A39" s="179">
        <v>23</v>
      </c>
      <c r="B39" s="180" t="s">
        <v>170</v>
      </c>
      <c r="C39" s="181" t="s">
        <v>171</v>
      </c>
      <c r="D39" s="182"/>
      <c r="E39" s="183">
        <v>22.24</v>
      </c>
      <c r="F39" s="183"/>
      <c r="G39" s="183" t="s">
        <v>172</v>
      </c>
      <c r="H39" s="182"/>
      <c r="I39" s="160"/>
      <c r="J39" s="184">
        <f t="shared" si="11"/>
        <v>0.0084</v>
      </c>
      <c r="K39" s="185">
        <v>0.12</v>
      </c>
      <c r="L39" s="186"/>
      <c r="M39" s="186"/>
      <c r="N39" s="187"/>
      <c r="O39" s="186"/>
      <c r="P39" s="186"/>
      <c r="Q39" s="186"/>
      <c r="R39" s="188"/>
      <c r="S39" s="188"/>
      <c r="T39" s="188"/>
      <c r="U39" s="188"/>
      <c r="V39" s="188"/>
      <c r="W39" s="188"/>
    </row>
    <row r="40" spans="1:23">
      <c r="A40" s="179">
        <v>24</v>
      </c>
      <c r="B40" s="180" t="s">
        <v>164</v>
      </c>
      <c r="C40" s="181" t="s">
        <v>173</v>
      </c>
      <c r="D40" s="182"/>
      <c r="E40" s="183">
        <v>22.24</v>
      </c>
      <c r="F40" s="181"/>
      <c r="G40" s="181" t="s">
        <v>174</v>
      </c>
      <c r="H40" s="182"/>
      <c r="I40" s="160">
        <v>6822</v>
      </c>
      <c r="J40" s="184">
        <f t="shared" si="11"/>
        <v>0.0084</v>
      </c>
      <c r="K40" s="185">
        <v>0.12</v>
      </c>
      <c r="L40" s="186"/>
      <c r="M40" s="186"/>
      <c r="N40" s="187"/>
      <c r="O40" s="186"/>
      <c r="P40" s="186"/>
      <c r="Q40" s="186"/>
      <c r="R40" s="188"/>
      <c r="S40" s="188"/>
      <c r="T40" s="188"/>
      <c r="U40" s="188"/>
      <c r="V40" s="188"/>
      <c r="W40" s="188"/>
    </row>
    <row r="41" spans="1:23">
      <c r="A41" s="179">
        <v>25</v>
      </c>
      <c r="B41" s="180" t="s">
        <v>175</v>
      </c>
      <c r="C41" s="181" t="s">
        <v>176</v>
      </c>
      <c r="D41" s="182"/>
      <c r="E41" s="183">
        <v>71.9</v>
      </c>
      <c r="F41" s="181"/>
      <c r="G41" s="181" t="s">
        <v>177</v>
      </c>
      <c r="H41" s="182"/>
      <c r="I41" s="160"/>
      <c r="J41" s="184">
        <f t="shared" si="11"/>
        <v>0.0084</v>
      </c>
      <c r="K41" s="185">
        <v>0.12</v>
      </c>
      <c r="L41" s="186"/>
      <c r="M41" s="186"/>
      <c r="N41" s="187"/>
      <c r="O41" s="186"/>
      <c r="P41" s="186"/>
      <c r="Q41" s="186"/>
      <c r="R41" s="188"/>
      <c r="S41" s="188"/>
      <c r="T41" s="188"/>
      <c r="U41" s="188"/>
      <c r="V41" s="188"/>
      <c r="W41" s="188"/>
    </row>
    <row r="42" spans="1:23">
      <c r="A42" s="179">
        <v>26</v>
      </c>
      <c r="B42" s="180" t="s">
        <v>164</v>
      </c>
      <c r="C42" s="181" t="s">
        <v>178</v>
      </c>
      <c r="D42" s="182"/>
      <c r="E42" s="183">
        <v>54</v>
      </c>
      <c r="F42" s="183"/>
      <c r="G42" s="183" t="s">
        <v>179</v>
      </c>
      <c r="H42" s="182"/>
      <c r="I42" s="160"/>
      <c r="J42" s="184">
        <f t="shared" si="11"/>
        <v>0.0084</v>
      </c>
      <c r="K42" s="185">
        <v>0.12</v>
      </c>
      <c r="L42" s="186"/>
      <c r="M42" s="186"/>
      <c r="N42" s="187"/>
      <c r="O42" s="186"/>
      <c r="P42" s="186"/>
      <c r="Q42" s="186"/>
      <c r="R42" s="188"/>
      <c r="S42" s="188"/>
      <c r="T42" s="188"/>
      <c r="U42" s="188"/>
      <c r="V42" s="188"/>
      <c r="W42" s="188"/>
    </row>
    <row r="43" spans="1:23">
      <c r="A43" s="179">
        <v>27</v>
      </c>
      <c r="B43" s="180"/>
      <c r="C43" s="181"/>
      <c r="D43" s="182"/>
      <c r="E43" s="183" t="s">
        <v>180</v>
      </c>
      <c r="F43" s="183"/>
      <c r="G43" s="183"/>
      <c r="H43" s="182"/>
      <c r="I43" s="160"/>
      <c r="J43" s="184">
        <f t="shared" si="11"/>
        <v>0.0084</v>
      </c>
      <c r="K43" s="185">
        <v>0.12</v>
      </c>
      <c r="L43" s="186"/>
      <c r="M43" s="186"/>
      <c r="N43" s="187"/>
      <c r="O43" s="186"/>
      <c r="P43" s="186"/>
      <c r="Q43" s="186"/>
      <c r="R43" s="188"/>
      <c r="S43" s="188"/>
      <c r="T43" s="188"/>
      <c r="U43" s="188"/>
      <c r="V43" s="188"/>
      <c r="W43" s="188"/>
    </row>
    <row r="44" spans="1:23">
      <c r="A44" s="179">
        <v>28</v>
      </c>
      <c r="B44" s="180"/>
      <c r="C44" s="181" t="s">
        <v>181</v>
      </c>
      <c r="D44" s="182"/>
      <c r="E44" s="183" t="s">
        <v>180</v>
      </c>
      <c r="F44" s="183"/>
      <c r="G44" s="183"/>
      <c r="H44" s="182"/>
      <c r="I44" s="160"/>
      <c r="J44" s="184">
        <f t="shared" si="11"/>
        <v>0.0084</v>
      </c>
      <c r="K44" s="185">
        <v>0.12</v>
      </c>
      <c r="L44" s="186"/>
      <c r="M44" s="186"/>
      <c r="N44" s="187"/>
      <c r="O44" s="186"/>
      <c r="P44" s="186"/>
      <c r="Q44" s="186"/>
      <c r="R44" s="188"/>
      <c r="S44" s="188"/>
      <c r="T44" s="188"/>
      <c r="U44" s="188"/>
      <c r="V44" s="188"/>
      <c r="W44" s="188"/>
    </row>
    <row r="45" spans="1:23">
      <c r="A45" s="179">
        <v>29</v>
      </c>
      <c r="B45" s="191" t="s">
        <v>182</v>
      </c>
      <c r="C45" s="181" t="s">
        <v>183</v>
      </c>
      <c r="D45" s="182"/>
      <c r="E45" s="183">
        <v>117</v>
      </c>
      <c r="F45" s="183"/>
      <c r="G45" s="183" t="s">
        <v>184</v>
      </c>
      <c r="H45" s="182"/>
      <c r="I45" s="160">
        <v>25920</v>
      </c>
      <c r="J45" s="184">
        <f t="shared" si="11"/>
        <v>0.0084</v>
      </c>
      <c r="K45" s="185">
        <v>0.12</v>
      </c>
      <c r="L45" s="186"/>
      <c r="M45" s="186"/>
      <c r="N45" s="187"/>
      <c r="O45" s="186"/>
      <c r="P45" s="186"/>
      <c r="Q45" s="186"/>
      <c r="R45" s="158">
        <f t="shared" ref="R45:W45" si="17">$I45/12/2*$K45</f>
        <v>129.6</v>
      </c>
      <c r="S45" s="158">
        <f t="shared" si="17"/>
        <v>129.6</v>
      </c>
      <c r="T45" s="158">
        <f t="shared" si="17"/>
        <v>129.6</v>
      </c>
      <c r="U45" s="158">
        <f t="shared" si="17"/>
        <v>129.6</v>
      </c>
      <c r="V45" s="158">
        <f t="shared" si="17"/>
        <v>129.6</v>
      </c>
      <c r="W45" s="158">
        <f t="shared" si="17"/>
        <v>129.6</v>
      </c>
    </row>
    <row r="46" spans="1:23">
      <c r="A46" s="179">
        <v>30</v>
      </c>
      <c r="B46" s="191" t="s">
        <v>148</v>
      </c>
      <c r="C46" s="181" t="s">
        <v>185</v>
      </c>
      <c r="D46" s="182"/>
      <c r="E46" s="183">
        <v>70</v>
      </c>
      <c r="F46" s="183"/>
      <c r="G46" s="183" t="s">
        <v>186</v>
      </c>
      <c r="H46" s="182"/>
      <c r="I46" s="160">
        <v>13440</v>
      </c>
      <c r="J46" s="184">
        <f t="shared" si="11"/>
        <v>0.0084</v>
      </c>
      <c r="K46" s="185">
        <v>0.12</v>
      </c>
      <c r="L46" s="186"/>
      <c r="M46" s="186"/>
      <c r="N46" s="150">
        <v>240</v>
      </c>
      <c r="O46" s="186"/>
      <c r="P46" s="186"/>
      <c r="Q46" s="186"/>
      <c r="R46" s="158">
        <f t="shared" ref="R46:W46" si="18">$I46/12/2*$K46</f>
        <v>67.2</v>
      </c>
      <c r="S46" s="158">
        <f t="shared" si="18"/>
        <v>67.2</v>
      </c>
      <c r="T46" s="158">
        <f t="shared" si="18"/>
        <v>67.2</v>
      </c>
      <c r="U46" s="158">
        <f t="shared" si="18"/>
        <v>67.2</v>
      </c>
      <c r="V46" s="158">
        <f t="shared" si="18"/>
        <v>67.2</v>
      </c>
      <c r="W46" s="158">
        <f t="shared" si="18"/>
        <v>67.2</v>
      </c>
    </row>
    <row r="47" spans="1:23">
      <c r="A47" s="179">
        <v>31</v>
      </c>
      <c r="B47" s="191"/>
      <c r="C47" s="181" t="s">
        <v>187</v>
      </c>
      <c r="D47" s="182"/>
      <c r="E47" s="183">
        <v>499</v>
      </c>
      <c r="F47" s="192"/>
      <c r="G47" s="192"/>
      <c r="H47" s="182"/>
      <c r="I47" s="160"/>
      <c r="J47" s="184">
        <f t="shared" si="11"/>
        <v>0.0084</v>
      </c>
      <c r="K47" s="185">
        <v>0.12</v>
      </c>
      <c r="L47" s="186"/>
      <c r="M47" s="186"/>
      <c r="N47" s="187"/>
      <c r="O47" s="186"/>
      <c r="P47" s="186"/>
      <c r="Q47" s="186"/>
      <c r="R47" s="188"/>
      <c r="S47" s="188"/>
      <c r="T47" s="188"/>
      <c r="U47" s="188"/>
      <c r="V47" s="188"/>
      <c r="W47" s="188"/>
    </row>
    <row r="48" spans="1:23">
      <c r="A48" s="179">
        <v>32</v>
      </c>
      <c r="B48" s="180"/>
      <c r="C48" s="181" t="s">
        <v>188</v>
      </c>
      <c r="D48" s="182"/>
      <c r="E48" s="183">
        <v>529.27</v>
      </c>
      <c r="F48" s="192"/>
      <c r="G48" s="192"/>
      <c r="H48" s="182"/>
      <c r="I48" s="160"/>
      <c r="J48" s="184">
        <f t="shared" si="11"/>
        <v>0.0084</v>
      </c>
      <c r="K48" s="185">
        <v>0.12</v>
      </c>
      <c r="L48" s="186"/>
      <c r="M48" s="186"/>
      <c r="N48" s="187"/>
      <c r="O48" s="186"/>
      <c r="P48" s="186"/>
      <c r="Q48" s="186"/>
      <c r="R48" s="188"/>
      <c r="S48" s="188"/>
      <c r="T48" s="188"/>
      <c r="U48" s="188"/>
      <c r="V48" s="188"/>
      <c r="W48" s="188"/>
    </row>
    <row r="49" spans="1:23">
      <c r="A49" s="179">
        <v>33</v>
      </c>
      <c r="B49" s="180" t="s">
        <v>148</v>
      </c>
      <c r="C49" s="181" t="s">
        <v>189</v>
      </c>
      <c r="D49" s="182"/>
      <c r="E49" s="183">
        <v>119.98</v>
      </c>
      <c r="F49" s="183"/>
      <c r="G49" s="183" t="s">
        <v>190</v>
      </c>
      <c r="H49" s="182"/>
      <c r="I49" s="160">
        <v>10000</v>
      </c>
      <c r="J49" s="184">
        <f t="shared" si="11"/>
        <v>0.0084</v>
      </c>
      <c r="K49" s="185">
        <v>0.12</v>
      </c>
      <c r="L49" s="186"/>
      <c r="M49" s="186"/>
      <c r="N49" s="150">
        <f t="shared" ref="M49:W49" si="19">$I$49/12/2*$K$49</f>
        <v>50</v>
      </c>
      <c r="O49" s="186"/>
      <c r="P49" s="186"/>
      <c r="Q49" s="186"/>
      <c r="R49" s="150">
        <f t="shared" si="19"/>
        <v>50</v>
      </c>
      <c r="S49" s="150">
        <f t="shared" si="19"/>
        <v>50</v>
      </c>
      <c r="T49" s="150">
        <f t="shared" si="19"/>
        <v>50</v>
      </c>
      <c r="U49" s="150">
        <f t="shared" si="19"/>
        <v>50</v>
      </c>
      <c r="V49" s="150">
        <f t="shared" si="19"/>
        <v>50</v>
      </c>
      <c r="W49" s="150">
        <f t="shared" si="19"/>
        <v>50</v>
      </c>
    </row>
    <row r="50" spans="1:23">
      <c r="A50" s="179">
        <v>34</v>
      </c>
      <c r="B50" s="180" t="s">
        <v>164</v>
      </c>
      <c r="C50" s="181" t="s">
        <v>191</v>
      </c>
      <c r="D50" s="182"/>
      <c r="E50" s="183">
        <v>137.32</v>
      </c>
      <c r="F50" s="183"/>
      <c r="G50" s="183" t="s">
        <v>192</v>
      </c>
      <c r="H50" s="182"/>
      <c r="I50" s="160">
        <v>35056</v>
      </c>
      <c r="J50" s="184">
        <f t="shared" si="11"/>
        <v>0.0084</v>
      </c>
      <c r="K50" s="185">
        <v>0.12</v>
      </c>
      <c r="L50" s="186"/>
      <c r="M50" s="186"/>
      <c r="N50" s="187"/>
      <c r="O50" s="186"/>
      <c r="P50" s="186"/>
      <c r="Q50" s="186"/>
      <c r="R50" s="158">
        <f t="shared" ref="R50:W50" si="20">$I50/12/2*$K50</f>
        <v>175.28</v>
      </c>
      <c r="S50" s="158">
        <f t="shared" si="20"/>
        <v>175.28</v>
      </c>
      <c r="T50" s="158">
        <f t="shared" si="20"/>
        <v>175.28</v>
      </c>
      <c r="U50" s="158">
        <f t="shared" si="20"/>
        <v>175.28</v>
      </c>
      <c r="V50" s="158">
        <f t="shared" si="20"/>
        <v>175.28</v>
      </c>
      <c r="W50" s="158">
        <f t="shared" si="20"/>
        <v>175.28</v>
      </c>
    </row>
    <row r="51" spans="1:23">
      <c r="A51" s="179">
        <v>35</v>
      </c>
      <c r="B51" s="193"/>
      <c r="C51" s="181" t="s">
        <v>191</v>
      </c>
      <c r="D51" s="182"/>
      <c r="E51" s="183">
        <v>81.72</v>
      </c>
      <c r="F51" s="183"/>
      <c r="G51" s="183"/>
      <c r="H51" s="182"/>
      <c r="I51" s="160"/>
      <c r="J51" s="184">
        <f t="shared" si="11"/>
        <v>0.0084</v>
      </c>
      <c r="K51" s="185">
        <v>0.12</v>
      </c>
      <c r="L51" s="186"/>
      <c r="M51" s="186"/>
      <c r="N51" s="187"/>
      <c r="O51" s="186"/>
      <c r="P51" s="186"/>
      <c r="Q51" s="186"/>
      <c r="R51" s="188"/>
      <c r="S51" s="188"/>
      <c r="T51" s="188"/>
      <c r="U51" s="188"/>
      <c r="V51" s="188"/>
      <c r="W51" s="188"/>
    </row>
    <row r="52" spans="1:23">
      <c r="A52" s="179">
        <v>36</v>
      </c>
      <c r="B52" s="180"/>
      <c r="C52" s="181" t="s">
        <v>191</v>
      </c>
      <c r="D52" s="182"/>
      <c r="E52" s="183">
        <v>158.6</v>
      </c>
      <c r="F52" s="183"/>
      <c r="G52" s="183"/>
      <c r="H52" s="182"/>
      <c r="I52" s="160"/>
      <c r="J52" s="184">
        <f t="shared" si="11"/>
        <v>0.0084</v>
      </c>
      <c r="K52" s="185">
        <v>0.12</v>
      </c>
      <c r="L52" s="186"/>
      <c r="M52" s="186"/>
      <c r="N52" s="187"/>
      <c r="O52" s="186"/>
      <c r="P52" s="186"/>
      <c r="Q52" s="186"/>
      <c r="R52" s="188"/>
      <c r="S52" s="188"/>
      <c r="T52" s="188"/>
      <c r="U52" s="188"/>
      <c r="V52" s="188"/>
      <c r="W52" s="188"/>
    </row>
    <row r="53" spans="1:23">
      <c r="A53" s="179">
        <v>37</v>
      </c>
      <c r="B53" s="192"/>
      <c r="C53" s="181" t="s">
        <v>193</v>
      </c>
      <c r="D53" s="182"/>
      <c r="E53" s="183">
        <v>1339.74</v>
      </c>
      <c r="F53" s="192"/>
      <c r="G53" s="192"/>
      <c r="H53" s="182"/>
      <c r="I53" s="160"/>
      <c r="J53" s="184">
        <f t="shared" si="11"/>
        <v>0.0084</v>
      </c>
      <c r="K53" s="185">
        <v>0.12</v>
      </c>
      <c r="L53" s="186"/>
      <c r="M53" s="186"/>
      <c r="N53" s="187"/>
      <c r="O53" s="186"/>
      <c r="P53" s="186"/>
      <c r="Q53" s="186"/>
      <c r="R53" s="188"/>
      <c r="S53" s="188"/>
      <c r="T53" s="188"/>
      <c r="U53" s="188"/>
      <c r="V53" s="188"/>
      <c r="W53" s="188"/>
    </row>
    <row r="54" spans="1:23">
      <c r="A54" s="188"/>
      <c r="B54" s="188"/>
      <c r="C54" s="188"/>
      <c r="D54" s="188"/>
      <c r="E54" s="188"/>
      <c r="F54" s="188"/>
      <c r="G54" s="188"/>
      <c r="H54" s="140" t="s">
        <v>22</v>
      </c>
      <c r="I54" s="158"/>
      <c r="J54" s="158"/>
      <c r="K54" s="158"/>
      <c r="L54" s="188"/>
      <c r="M54" s="188"/>
      <c r="N54" s="188"/>
      <c r="O54" s="188"/>
      <c r="P54" s="188"/>
      <c r="Q54" s="188"/>
      <c r="R54" s="188"/>
      <c r="S54" s="188"/>
      <c r="T54" s="188"/>
      <c r="U54" s="188"/>
      <c r="V54" s="188"/>
      <c r="W54" s="188"/>
    </row>
  </sheetData>
  <mergeCells count="8">
    <mergeCell ref="B42:B44"/>
    <mergeCell ref="C42:C43"/>
    <mergeCell ref="F6:F7"/>
    <mergeCell ref="F42:F44"/>
    <mergeCell ref="G42:G44"/>
    <mergeCell ref="H11:H12"/>
    <mergeCell ref="L17:M53"/>
    <mergeCell ref="O17:Q53"/>
  </mergeCells>
  <pageMargins left="0.75" right="0.75" top="1" bottom="1" header="0.5" footer="0.5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P39"/>
  <sheetViews>
    <sheetView tabSelected="1" workbookViewId="0">
      <selection activeCell="J7" sqref="J7"/>
    </sheetView>
  </sheetViews>
  <sheetFormatPr defaultColWidth="9" defaultRowHeight="14.4"/>
  <cols>
    <col min="1" max="1" width="4.14814814814815" customWidth="1"/>
    <col min="2" max="2" width="17.3888888888889" customWidth="1"/>
    <col min="3" max="3" width="17.1296296296296" customWidth="1"/>
    <col min="4" max="4" width="16" customWidth="1"/>
    <col min="5" max="5" width="14.9722222222222" customWidth="1"/>
    <col min="6" max="7" width="14.2037037037037" customWidth="1"/>
    <col min="8" max="8" width="12.9444444444444" customWidth="1"/>
    <col min="9" max="9" width="11.8796296296296" style="95" customWidth="1"/>
    <col min="10" max="10" width="16.1111111111111" style="95" customWidth="1"/>
    <col min="11" max="11" width="19.8888888888889" style="95" customWidth="1"/>
    <col min="12" max="12" width="12.8888888888889" style="95"/>
    <col min="13" max="14" width="9.66666666666667" style="95"/>
    <col min="15" max="15" width="10.7777777777778" style="95"/>
    <col min="16" max="16" width="9.66666666666667" style="95"/>
  </cols>
  <sheetData>
    <row r="1" customFormat="1" ht="46" customHeight="1" spans="2:16">
      <c r="B1" s="96" t="s">
        <v>194</v>
      </c>
      <c r="C1" s="96"/>
      <c r="D1" s="96"/>
      <c r="E1" s="96"/>
      <c r="F1" s="96"/>
      <c r="G1" s="96"/>
      <c r="H1" s="96"/>
      <c r="I1" s="95"/>
      <c r="J1" s="95"/>
      <c r="K1" s="95"/>
      <c r="L1" s="95"/>
      <c r="M1" s="95"/>
      <c r="N1" s="95"/>
      <c r="O1" s="95"/>
      <c r="P1" s="95"/>
    </row>
    <row r="2" customFormat="1" spans="2:16">
      <c r="B2" s="97"/>
      <c r="C2" s="97"/>
      <c r="D2" s="97"/>
      <c r="E2" s="97"/>
      <c r="F2" s="97"/>
      <c r="G2" s="97"/>
      <c r="H2" s="97" t="s">
        <v>195</v>
      </c>
      <c r="I2" s="95"/>
      <c r="J2" s="95"/>
      <c r="K2" s="95"/>
      <c r="L2" s="95"/>
      <c r="M2" s="95"/>
      <c r="N2" s="95"/>
      <c r="O2" s="95"/>
      <c r="P2" s="95"/>
    </row>
    <row r="3" customFormat="1" ht="23" customHeight="1" spans="2:16">
      <c r="B3" s="98" t="s">
        <v>196</v>
      </c>
      <c r="C3" s="99" t="s">
        <v>2</v>
      </c>
      <c r="D3" s="100" t="s">
        <v>197</v>
      </c>
      <c r="E3" s="101" t="s">
        <v>7</v>
      </c>
      <c r="F3" s="100" t="s">
        <v>198</v>
      </c>
      <c r="G3" s="100" t="s">
        <v>199</v>
      </c>
      <c r="H3" s="99" t="s">
        <v>200</v>
      </c>
      <c r="I3" s="95"/>
      <c r="J3" s="95"/>
      <c r="K3" s="95"/>
      <c r="L3" s="95"/>
      <c r="M3" s="95"/>
      <c r="N3" s="95"/>
      <c r="O3" s="95"/>
      <c r="P3" s="95"/>
    </row>
    <row r="4" customFormat="1" ht="23" customHeight="1" spans="2:16">
      <c r="B4" s="98" t="s">
        <v>201</v>
      </c>
      <c r="C4" s="99" t="s">
        <v>202</v>
      </c>
      <c r="D4" s="102">
        <f>127230/1.03</f>
        <v>123524.27184466</v>
      </c>
      <c r="E4" s="103">
        <v>0.03</v>
      </c>
      <c r="F4" s="104">
        <f>ROUND(D4*E4,2)</f>
        <v>3705.73</v>
      </c>
      <c r="G4" s="104"/>
      <c r="H4" s="105"/>
      <c r="I4" s="106"/>
      <c r="J4" s="106"/>
      <c r="K4" s="106"/>
      <c r="L4" s="106"/>
      <c r="M4" s="106"/>
      <c r="N4" s="106"/>
      <c r="O4" s="106"/>
      <c r="P4" s="95"/>
    </row>
    <row r="5" customFormat="1" ht="23" customHeight="1" spans="2:16">
      <c r="B5" s="98" t="s">
        <v>203</v>
      </c>
      <c r="C5" s="99" t="s">
        <v>202</v>
      </c>
      <c r="D5" s="102">
        <f>F4</f>
        <v>3705.73</v>
      </c>
      <c r="E5" s="107">
        <f>7%*50%</f>
        <v>0.035</v>
      </c>
      <c r="F5" s="104">
        <f t="shared" ref="F4:F7" si="0">ROUND(D5*E5,2)</f>
        <v>129.7</v>
      </c>
      <c r="G5" s="104"/>
      <c r="H5" s="108" t="s">
        <v>204</v>
      </c>
      <c r="I5" s="95"/>
      <c r="J5" s="95"/>
      <c r="K5" s="95"/>
      <c r="L5" s="95"/>
      <c r="M5" s="95"/>
      <c r="N5" s="95"/>
      <c r="O5" s="95"/>
      <c r="P5" s="95"/>
    </row>
    <row r="6" customFormat="1" ht="23" customHeight="1" spans="2:16">
      <c r="B6" s="98" t="s">
        <v>205</v>
      </c>
      <c r="C6" s="99" t="s">
        <v>202</v>
      </c>
      <c r="D6" s="102">
        <f>F4</f>
        <v>3705.73</v>
      </c>
      <c r="E6" s="107">
        <f>3%*50%</f>
        <v>0.015</v>
      </c>
      <c r="F6" s="104">
        <f t="shared" si="0"/>
        <v>55.59</v>
      </c>
      <c r="G6" s="104"/>
      <c r="H6" s="108"/>
      <c r="I6" s="95"/>
      <c r="J6" s="95"/>
      <c r="K6" s="95"/>
      <c r="L6" s="95"/>
      <c r="M6" s="95"/>
      <c r="N6" s="95"/>
      <c r="O6" s="95"/>
      <c r="P6" s="95"/>
    </row>
    <row r="7" customFormat="1" ht="23" customHeight="1" spans="2:16">
      <c r="B7" s="98" t="s">
        <v>206</v>
      </c>
      <c r="C7" s="99" t="s">
        <v>202</v>
      </c>
      <c r="D7" s="102">
        <f>F4</f>
        <v>3705.73</v>
      </c>
      <c r="E7" s="107">
        <f>2%*50%</f>
        <v>0.01</v>
      </c>
      <c r="F7" s="104">
        <f t="shared" si="0"/>
        <v>37.06</v>
      </c>
      <c r="G7" s="104"/>
      <c r="H7" s="108"/>
      <c r="I7" s="95"/>
      <c r="J7" s="95"/>
      <c r="K7" s="95"/>
      <c r="L7" s="95"/>
      <c r="M7" s="95"/>
      <c r="N7" s="95"/>
      <c r="O7" s="95"/>
      <c r="P7" s="95"/>
    </row>
    <row r="8" customFormat="1" ht="23" customHeight="1" spans="2:16">
      <c r="B8" s="98" t="s">
        <v>207</v>
      </c>
      <c r="C8" s="99" t="s">
        <v>208</v>
      </c>
      <c r="D8" s="102">
        <f>('2026.3月房产税计算表'!AO4+'2026.3月房产税计算表'!AO5+'2026.3月房产税计算表'!AO6+'2026.3月房产税计算表'!AO7)*4</f>
        <v>170932.793147918</v>
      </c>
      <c r="E8" s="109">
        <f>0.12*50%</f>
        <v>0.06</v>
      </c>
      <c r="F8" s="104">
        <f>D8*E8</f>
        <v>10255.9675888751</v>
      </c>
      <c r="G8" s="104">
        <f t="shared" ref="G5:G14" si="1">F8</f>
        <v>10255.9675888751</v>
      </c>
      <c r="H8" s="108"/>
      <c r="I8" s="95"/>
      <c r="J8" s="95"/>
      <c r="K8" s="95"/>
      <c r="L8" s="95"/>
      <c r="M8" s="95"/>
      <c r="N8" s="95"/>
      <c r="O8" s="95"/>
      <c r="P8" s="95"/>
    </row>
    <row r="9" customFormat="1" ht="23" customHeight="1" spans="2:16">
      <c r="B9" s="98" t="s">
        <v>209</v>
      </c>
      <c r="C9" s="99" t="s">
        <v>208</v>
      </c>
      <c r="D9" s="110">
        <f>'2026.3月房产税计算表'!AO19*4-D8</f>
        <v>92859.1853483329</v>
      </c>
      <c r="E9" s="109">
        <f>0.12*50%</f>
        <v>0.06</v>
      </c>
      <c r="F9" s="104">
        <f>D9*E9</f>
        <v>5571.55112089997</v>
      </c>
      <c r="G9" s="104">
        <f t="shared" si="1"/>
        <v>5571.55112089997</v>
      </c>
      <c r="H9" s="108"/>
      <c r="I9" s="95"/>
      <c r="J9" s="95"/>
      <c r="K9" s="95"/>
      <c r="L9" s="95"/>
      <c r="M9" s="95"/>
      <c r="N9" s="95"/>
      <c r="O9" s="95"/>
      <c r="P9" s="95"/>
    </row>
    <row r="10" customFormat="1" ht="23" customHeight="1" spans="2:16">
      <c r="B10" s="98" t="s">
        <v>210</v>
      </c>
      <c r="C10" s="99" t="s">
        <v>211</v>
      </c>
      <c r="D10" s="102"/>
      <c r="E10" s="109">
        <f>0.7*0.012*0.5*0.5</f>
        <v>0.0021</v>
      </c>
      <c r="F10" s="104">
        <f>D10*E10</f>
        <v>0</v>
      </c>
      <c r="G10" s="104">
        <f t="shared" si="1"/>
        <v>0</v>
      </c>
      <c r="H10" s="108"/>
      <c r="I10" s="95"/>
      <c r="J10" s="95"/>
      <c r="K10" s="95"/>
      <c r="L10" s="95"/>
      <c r="M10" s="95"/>
      <c r="N10" s="95"/>
      <c r="O10" s="95"/>
      <c r="P10" s="95"/>
    </row>
    <row r="11" customFormat="1" ht="23" customHeight="1" spans="2:16">
      <c r="B11" s="98" t="s">
        <v>212</v>
      </c>
      <c r="C11" s="99" t="s">
        <v>211</v>
      </c>
      <c r="D11" s="110">
        <v>2753644.13041379</v>
      </c>
      <c r="E11" s="109">
        <f>0.7*0.012*0.5*0.5</f>
        <v>0.0021</v>
      </c>
      <c r="F11" s="104">
        <f>D11*E11</f>
        <v>5782.65267386896</v>
      </c>
      <c r="G11" s="104">
        <f t="shared" si="1"/>
        <v>5782.65267386896</v>
      </c>
      <c r="H11" s="108"/>
      <c r="I11" s="95"/>
      <c r="J11" s="95"/>
      <c r="K11" s="95"/>
      <c r="L11" s="95"/>
      <c r="M11" s="95"/>
      <c r="N11" s="95"/>
      <c r="O11" s="95"/>
      <c r="P11" s="95"/>
    </row>
    <row r="12" customFormat="1" ht="23" customHeight="1" spans="2:16">
      <c r="B12" s="98" t="s">
        <v>213</v>
      </c>
      <c r="C12" s="99" t="s">
        <v>202</v>
      </c>
      <c r="D12" s="102">
        <f>D4*1.03</f>
        <v>127230</v>
      </c>
      <c r="E12" s="111">
        <f>0.01*0.1</f>
        <v>0.001</v>
      </c>
      <c r="F12" s="104">
        <f>ROUND(E12*D12,2)</f>
        <v>127.23</v>
      </c>
      <c r="G12" s="104">
        <f>F12*50%</f>
        <v>63.615</v>
      </c>
      <c r="H12" s="108"/>
      <c r="I12" s="95"/>
      <c r="J12" s="106"/>
      <c r="K12" s="95"/>
      <c r="L12" s="95"/>
      <c r="M12" s="95"/>
      <c r="N12" s="95"/>
      <c r="O12" s="95"/>
      <c r="P12" s="95"/>
    </row>
    <row r="13" customFormat="1" ht="23" customHeight="1" spans="2:16">
      <c r="B13" s="98" t="s">
        <v>214</v>
      </c>
      <c r="C13" s="99" t="s">
        <v>202</v>
      </c>
      <c r="D13" s="110"/>
      <c r="E13" s="103">
        <v>0.25</v>
      </c>
      <c r="F13" s="104">
        <v>0</v>
      </c>
      <c r="G13" s="104">
        <f t="shared" si="1"/>
        <v>0</v>
      </c>
      <c r="H13" s="108"/>
      <c r="I13" s="95"/>
      <c r="J13" s="95"/>
      <c r="K13" s="95"/>
      <c r="L13" s="95"/>
      <c r="M13" s="95"/>
      <c r="N13" s="95"/>
      <c r="O13" s="95"/>
      <c r="P13" s="95"/>
    </row>
    <row r="14" customFormat="1" ht="23" customHeight="1" spans="2:16">
      <c r="B14" s="98" t="s">
        <v>215</v>
      </c>
      <c r="C14" s="99" t="s">
        <v>202</v>
      </c>
      <c r="D14" s="110">
        <v>15000</v>
      </c>
      <c r="E14" s="103">
        <v>0.02</v>
      </c>
      <c r="F14" s="104">
        <f>D14*E14</f>
        <v>300</v>
      </c>
      <c r="G14" s="104">
        <f t="shared" si="1"/>
        <v>300</v>
      </c>
      <c r="H14" s="108"/>
      <c r="I14" s="95"/>
      <c r="J14" s="95"/>
      <c r="K14" s="95"/>
      <c r="L14" s="95"/>
      <c r="M14" s="95"/>
      <c r="N14" s="95"/>
      <c r="O14" s="95"/>
      <c r="P14" s="95"/>
    </row>
    <row r="15" customFormat="1" ht="23" customHeight="1" spans="2:16">
      <c r="B15" s="98" t="s">
        <v>216</v>
      </c>
      <c r="C15" s="99" t="s">
        <v>211</v>
      </c>
      <c r="D15" s="110"/>
      <c r="E15" s="103"/>
      <c r="F15" s="104">
        <f>'房产税&amp;土地使用税'!F49+'房产税&amp;土地使用税'!F53</f>
        <v>10064.2273484383</v>
      </c>
      <c r="G15" s="104"/>
      <c r="H15" s="108"/>
      <c r="I15" s="95"/>
      <c r="J15" s="95"/>
      <c r="K15" s="112"/>
      <c r="L15" s="95"/>
      <c r="M15" s="95"/>
      <c r="N15" s="95"/>
      <c r="O15" s="95"/>
      <c r="P15" s="95"/>
    </row>
    <row r="16" customFormat="1" ht="23" customHeight="1" spans="2:16">
      <c r="B16" s="98" t="s">
        <v>217</v>
      </c>
      <c r="C16" s="99"/>
      <c r="D16" s="100"/>
      <c r="E16" s="101"/>
      <c r="F16" s="104">
        <f>SUM(F4:F14)</f>
        <v>25965.481383644</v>
      </c>
      <c r="G16" s="104">
        <f>SUM(G4:G15)-0.01</f>
        <v>21973.776383644</v>
      </c>
      <c r="H16" s="98"/>
      <c r="I16" s="95"/>
      <c r="J16" s="95"/>
      <c r="K16" s="95"/>
      <c r="L16" s="95"/>
      <c r="M16" s="95"/>
      <c r="N16" s="95"/>
      <c r="O16" s="95"/>
      <c r="P16" s="95"/>
    </row>
    <row r="17" ht="12" customHeight="1"/>
    <row r="18" s="95" customFormat="1" ht="14" customHeight="1" spans="2:11">
      <c r="B18" s="95" t="s">
        <v>218</v>
      </c>
      <c r="C18" s="113"/>
      <c r="D18" s="106"/>
      <c r="G18" s="106"/>
      <c r="K18" s="113"/>
    </row>
    <row r="19" s="95" customFormat="1" ht="14" customHeight="1" spans="2:11">
      <c r="B19" s="95" t="s">
        <v>219</v>
      </c>
      <c r="C19" s="113">
        <v>0</v>
      </c>
      <c r="D19" s="106"/>
      <c r="K19" s="113"/>
    </row>
    <row r="20" s="95" customFormat="1" ht="14" customHeight="1" spans="2:11">
      <c r="B20" s="95" t="s">
        <v>220</v>
      </c>
      <c r="C20" s="114"/>
      <c r="D20" s="106"/>
      <c r="K20" s="113"/>
    </row>
    <row r="21" s="95" customFormat="1" ht="14" customHeight="1" spans="2:11">
      <c r="B21" s="95" t="s">
        <v>221</v>
      </c>
      <c r="C21" s="115"/>
      <c r="D21" s="106"/>
      <c r="F21" s="106"/>
      <c r="K21" s="113"/>
    </row>
    <row r="22" s="95" customFormat="1" ht="14" customHeight="1" spans="2:11">
      <c r="B22" s="95" t="s">
        <v>222</v>
      </c>
      <c r="C22" s="114"/>
      <c r="D22" s="106"/>
      <c r="K22" s="113"/>
    </row>
    <row r="23" s="95" customFormat="1" ht="14" customHeight="1" spans="2:11">
      <c r="B23" s="95" t="s">
        <v>223</v>
      </c>
      <c r="C23" s="113">
        <v>0</v>
      </c>
      <c r="D23" s="106"/>
      <c r="F23" s="106"/>
      <c r="K23" s="113"/>
    </row>
    <row r="24" s="95" customFormat="1" ht="14" customHeight="1" spans="2:11">
      <c r="B24" s="95" t="s">
        <v>224</v>
      </c>
      <c r="C24" s="113">
        <f>C18+C19-C20-C21-C22-C23</f>
        <v>0</v>
      </c>
      <c r="D24" s="113"/>
    </row>
    <row r="25" s="95" customFormat="1" ht="14" customHeight="1" spans="2:11">
      <c r="B25" s="95" t="s">
        <v>225</v>
      </c>
      <c r="C25" s="113"/>
    </row>
    <row r="26" s="95" customFormat="1" ht="14" customHeight="1" spans="2:11">
      <c r="B26" s="95" t="s">
        <v>226</v>
      </c>
      <c r="C26" s="113">
        <f>C24*25%</f>
        <v>0</v>
      </c>
    </row>
    <row r="27" s="95" customFormat="1" ht="14" customHeight="1" spans="2:11">
      <c r="B27" s="95" t="s">
        <v>227</v>
      </c>
      <c r="C27" s="113">
        <f>C24-C25-C26</f>
        <v>0</v>
      </c>
    </row>
    <row r="28" s="95" customFormat="1" ht="12" customHeight="1" spans="2:11">
      <c r="B28" s="95" t="s">
        <v>228</v>
      </c>
      <c r="C28" s="113">
        <f>C27*25%</f>
        <v>0</v>
      </c>
    </row>
    <row r="29" s="95" customFormat="1" ht="12"/>
    <row r="30" s="95" customFormat="1" ht="12"/>
    <row r="31" ht="22.2" spans="2:11">
      <c r="B31" s="116" t="s">
        <v>38</v>
      </c>
      <c r="C31" s="116"/>
      <c r="D31" s="116"/>
      <c r="E31" s="116"/>
      <c r="F31" s="116"/>
      <c r="G31" s="116"/>
      <c r="H31" s="117"/>
    </row>
    <row r="32" spans="2:11">
      <c r="B32" s="118" t="s">
        <v>3</v>
      </c>
      <c r="C32" s="119" t="s">
        <v>39</v>
      </c>
      <c r="D32" s="118" t="s">
        <v>40</v>
      </c>
      <c r="E32" s="118" t="s">
        <v>41</v>
      </c>
      <c r="F32" s="120" t="s">
        <v>197</v>
      </c>
      <c r="G32" s="119" t="s">
        <v>8</v>
      </c>
      <c r="H32" s="121" t="s">
        <v>229</v>
      </c>
    </row>
    <row r="33" spans="2:8">
      <c r="B33" s="122" t="s">
        <v>43</v>
      </c>
      <c r="C33" s="123">
        <f>2124.01/15665.07*1505.01</f>
        <v>204.062687884574</v>
      </c>
      <c r="D33" s="123" t="s">
        <v>44</v>
      </c>
      <c r="E33" s="122" t="s">
        <v>230</v>
      </c>
      <c r="F33" s="123">
        <f>C33/2</f>
        <v>102.031343942287</v>
      </c>
      <c r="G33" s="123">
        <f>F33*14</f>
        <v>1428.43881519202</v>
      </c>
      <c r="H33" s="123">
        <f>G33*50%</f>
        <v>714.219407596008</v>
      </c>
    </row>
    <row r="34" spans="2:8">
      <c r="B34" s="122" t="s">
        <v>46</v>
      </c>
      <c r="C34" s="123">
        <f>2124.01/15665.07*1508.75</f>
        <v>204.569790463752</v>
      </c>
      <c r="D34" s="123" t="s">
        <v>44</v>
      </c>
      <c r="E34" s="122" t="s">
        <v>230</v>
      </c>
      <c r="F34" s="123">
        <f>C34/2</f>
        <v>102.284895231876</v>
      </c>
      <c r="G34" s="123">
        <f>F34*14</f>
        <v>1431.98853324626</v>
      </c>
      <c r="H34" s="123">
        <f>G34*50%</f>
        <v>715.99426662313</v>
      </c>
    </row>
    <row r="35" spans="2:8">
      <c r="B35" s="122" t="s">
        <v>22</v>
      </c>
      <c r="C35" s="123">
        <f t="shared" ref="C35:G35" si="2">SUM(C33:C34)</f>
        <v>408.632478348326</v>
      </c>
      <c r="D35" s="122"/>
      <c r="E35" s="122"/>
      <c r="F35" s="123">
        <f t="shared" si="2"/>
        <v>204.316239174163</v>
      </c>
      <c r="G35" s="123">
        <f t="shared" si="2"/>
        <v>2860.42734843828</v>
      </c>
      <c r="H35" s="124">
        <v>1430.24</v>
      </c>
    </row>
    <row r="36" spans="2:8">
      <c r="B36" s="125"/>
      <c r="C36" s="125"/>
      <c r="D36" s="125"/>
      <c r="E36" s="125"/>
      <c r="F36" s="126"/>
      <c r="G36" s="125"/>
      <c r="H36" s="126"/>
    </row>
    <row r="37" spans="2:8">
      <c r="B37" s="127" t="s">
        <v>47</v>
      </c>
      <c r="C37" s="127"/>
      <c r="D37" s="127"/>
      <c r="E37" s="127"/>
      <c r="F37" s="127"/>
      <c r="G37" s="127"/>
      <c r="H37" s="128"/>
    </row>
    <row r="38" spans="2:8">
      <c r="B38" s="122" t="s">
        <v>3</v>
      </c>
      <c r="C38" s="123" t="s">
        <v>39</v>
      </c>
      <c r="D38" s="122" t="s">
        <v>40</v>
      </c>
      <c r="E38" s="122" t="s">
        <v>41</v>
      </c>
      <c r="F38" s="129" t="s">
        <v>197</v>
      </c>
      <c r="G38" s="123" t="s">
        <v>8</v>
      </c>
      <c r="H38" s="130" t="s">
        <v>229</v>
      </c>
    </row>
    <row r="39" spans="2:8">
      <c r="B39" s="122" t="s">
        <v>48</v>
      </c>
      <c r="C39" s="123">
        <v>1800.95</v>
      </c>
      <c r="D39" s="122" t="s">
        <v>49</v>
      </c>
      <c r="E39" s="122" t="s">
        <v>230</v>
      </c>
      <c r="F39" s="131">
        <f>C39/2</f>
        <v>900.475</v>
      </c>
      <c r="G39" s="123">
        <f>F39*8</f>
        <v>7203.8</v>
      </c>
      <c r="H39" s="124">
        <f>G39*50%</f>
        <v>3601.9</v>
      </c>
    </row>
  </sheetData>
  <mergeCells count="4">
    <mergeCell ref="B1:H1"/>
    <mergeCell ref="B31:H31"/>
    <mergeCell ref="B37:H37"/>
    <mergeCell ref="H5:H14"/>
  </mergeCells>
  <printOptions horizontalCentered="1"/>
  <pageMargins left="0.550694444444444" right="0.393055555555556" top="1" bottom="1" header="0.5" footer="0.5"/>
  <pageSetup paperSize="9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S25"/>
  <sheetViews>
    <sheetView workbookViewId="0">
      <pane xSplit="8" ySplit="3" topLeftCell="I4" activePane="bottomRight" state="frozen"/>
      <selection/>
      <selection pane="topRight"/>
      <selection pane="bottomLeft"/>
      <selection pane="bottomRight" activeCell="AO5" sqref="AO5"/>
    </sheetView>
  </sheetViews>
  <sheetFormatPr defaultColWidth="9" defaultRowHeight="14.4"/>
  <cols>
    <col min="1" max="1" width="18.5555555555556" style="5" customWidth="1"/>
    <col min="2" max="2" width="23.2222222222222" style="5" customWidth="1"/>
    <col min="3" max="3" width="20.2222222222222" style="2" customWidth="1"/>
    <col min="4" max="4" width="8.11111111111111" style="6" customWidth="1"/>
    <col min="5" max="5" width="14.3518518518519" style="7" customWidth="1"/>
    <col min="6" max="8" width="14.3518518518519" style="6" customWidth="1"/>
    <col min="9" max="9" width="7.77777777777778" style="8" customWidth="1"/>
    <col min="10" max="24" width="14.3518518518519" style="9" customWidth="1"/>
    <col min="25" max="26" width="14.7777777777778" style="9" customWidth="1"/>
    <col min="27" max="27" width="8.44444444444444" style="10" customWidth="1"/>
    <col min="28" max="28" width="11.1111111111111" style="9" customWidth="1"/>
    <col min="29" max="30" width="12.7777777777778" style="9" customWidth="1"/>
    <col min="31" max="31" width="8.33333333333333" style="10" customWidth="1"/>
    <col min="32" max="32" width="13.2222222222222" style="9" customWidth="1"/>
    <col min="33" max="33" width="16.2222222222222" style="9" customWidth="1"/>
    <col min="34" max="34" width="12.7777777777778" style="9" customWidth="1"/>
    <col min="35" max="35" width="18.3333333333333" style="10" customWidth="1"/>
    <col min="36" max="36" width="13.2222222222222" style="9" customWidth="1"/>
    <col min="37" max="38" width="12.7777777777778" style="9" customWidth="1"/>
    <col min="39" max="39" width="8.33333333333333" style="10" customWidth="1"/>
    <col min="40" max="40" width="13.2222222222222" style="9" customWidth="1"/>
    <col min="41" max="42" width="12.7777777777778" style="9" customWidth="1"/>
    <col min="43" max="43" width="8.33333333333333" style="10" customWidth="1"/>
    <col min="44" max="44" width="13.2222222222222" style="9" customWidth="1"/>
    <col min="45" max="45" width="23.7777777777778" style="2" customWidth="1"/>
    <col min="46" max="16384" width="9" style="2"/>
  </cols>
  <sheetData>
    <row r="1" s="1" customFormat="1" ht="36" customHeight="1" spans="1:45">
      <c r="A1" s="11" t="s">
        <v>231</v>
      </c>
      <c r="B1" s="11"/>
      <c r="C1" s="12"/>
      <c r="D1" s="12"/>
      <c r="E1" s="13"/>
      <c r="F1" s="12"/>
      <c r="G1" s="12"/>
      <c r="H1" s="12"/>
      <c r="I1" s="14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6"/>
      <c r="AB1" s="15"/>
      <c r="AC1" s="17"/>
      <c r="AD1" s="17"/>
      <c r="AE1" s="18"/>
      <c r="AF1" s="17"/>
      <c r="AG1" s="17"/>
      <c r="AH1" s="17"/>
      <c r="AI1" s="18"/>
      <c r="AJ1" s="17"/>
      <c r="AK1" s="17"/>
      <c r="AL1" s="17"/>
      <c r="AM1" s="18"/>
      <c r="AN1" s="17"/>
      <c r="AO1" s="17"/>
      <c r="AP1" s="17"/>
      <c r="AQ1" s="18"/>
      <c r="AR1" s="17"/>
    </row>
    <row r="2" s="1" customFormat="1" ht="18" customHeight="1" spans="1:45">
      <c r="A2" s="19" t="s">
        <v>232</v>
      </c>
      <c r="B2" s="19" t="s">
        <v>233</v>
      </c>
      <c r="C2" s="20" t="s">
        <v>234</v>
      </c>
      <c r="D2" s="20" t="s">
        <v>235</v>
      </c>
      <c r="E2" s="21" t="s">
        <v>236</v>
      </c>
      <c r="F2" s="20" t="s">
        <v>237</v>
      </c>
      <c r="G2" s="20" t="s">
        <v>238</v>
      </c>
      <c r="H2" s="20" t="s">
        <v>239</v>
      </c>
      <c r="I2" s="22" t="s">
        <v>240</v>
      </c>
      <c r="J2" s="23" t="s">
        <v>241</v>
      </c>
      <c r="K2" s="23" t="s">
        <v>242</v>
      </c>
      <c r="L2" s="23"/>
      <c r="M2" s="24"/>
      <c r="N2" s="23" t="s">
        <v>243</v>
      </c>
      <c r="O2" s="25" t="s">
        <v>244</v>
      </c>
      <c r="P2" s="26"/>
      <c r="Q2" s="26"/>
      <c r="R2" s="26"/>
      <c r="S2" s="26"/>
      <c r="T2" s="27"/>
      <c r="U2" s="24" t="s">
        <v>245</v>
      </c>
      <c r="V2" s="28"/>
      <c r="W2" s="24"/>
      <c r="X2" s="23" t="s">
        <v>246</v>
      </c>
      <c r="Y2" s="29" t="s">
        <v>247</v>
      </c>
      <c r="Z2" s="30"/>
      <c r="AA2" s="31"/>
      <c r="AB2" s="30"/>
      <c r="AC2" s="30" t="s">
        <v>248</v>
      </c>
      <c r="AD2" s="30"/>
      <c r="AE2" s="31"/>
      <c r="AF2" s="30"/>
      <c r="AG2" s="30" t="s">
        <v>249</v>
      </c>
      <c r="AH2" s="30"/>
      <c r="AI2" s="31"/>
      <c r="AJ2" s="30"/>
      <c r="AK2" s="30" t="s">
        <v>250</v>
      </c>
      <c r="AL2" s="30"/>
      <c r="AM2" s="31"/>
      <c r="AN2" s="30"/>
      <c r="AO2" s="30" t="s">
        <v>251</v>
      </c>
      <c r="AP2" s="30"/>
      <c r="AQ2" s="31"/>
      <c r="AR2" s="30"/>
      <c r="AS2" s="32" t="s">
        <v>200</v>
      </c>
    </row>
    <row r="3" s="1" customFormat="1" ht="42" customHeight="1" spans="1:45">
      <c r="A3" s="33"/>
      <c r="B3" s="33"/>
      <c r="C3" s="34"/>
      <c r="D3" s="34"/>
      <c r="E3" s="35"/>
      <c r="F3" s="34"/>
      <c r="G3" s="34"/>
      <c r="H3" s="34"/>
      <c r="I3" s="36"/>
      <c r="J3" s="37"/>
      <c r="K3" s="37" t="s">
        <v>252</v>
      </c>
      <c r="L3" s="37" t="s">
        <v>253</v>
      </c>
      <c r="M3" s="38" t="s">
        <v>22</v>
      </c>
      <c r="N3" s="37"/>
      <c r="O3" s="39" t="s">
        <v>254</v>
      </c>
      <c r="P3" s="40" t="s">
        <v>255</v>
      </c>
      <c r="Q3" s="40" t="s">
        <v>256</v>
      </c>
      <c r="R3" s="40" t="s">
        <v>205</v>
      </c>
      <c r="S3" s="40" t="s">
        <v>257</v>
      </c>
      <c r="T3" s="41" t="s">
        <v>258</v>
      </c>
      <c r="U3" s="42" t="s">
        <v>252</v>
      </c>
      <c r="V3" s="42" t="s">
        <v>253</v>
      </c>
      <c r="W3" s="38" t="s">
        <v>22</v>
      </c>
      <c r="X3" s="37"/>
      <c r="Y3" s="29" t="s">
        <v>197</v>
      </c>
      <c r="Z3" s="43" t="s">
        <v>259</v>
      </c>
      <c r="AA3" s="44" t="s">
        <v>260</v>
      </c>
      <c r="AB3" s="43" t="s">
        <v>261</v>
      </c>
      <c r="AC3" s="30" t="s">
        <v>197</v>
      </c>
      <c r="AD3" s="43" t="s">
        <v>259</v>
      </c>
      <c r="AE3" s="44" t="s">
        <v>260</v>
      </c>
      <c r="AF3" s="43" t="s">
        <v>261</v>
      </c>
      <c r="AG3" s="30" t="s">
        <v>197</v>
      </c>
      <c r="AH3" s="43" t="s">
        <v>259</v>
      </c>
      <c r="AI3" s="44" t="s">
        <v>260</v>
      </c>
      <c r="AJ3" s="43" t="s">
        <v>261</v>
      </c>
      <c r="AK3" s="30" t="s">
        <v>197</v>
      </c>
      <c r="AL3" s="43" t="s">
        <v>259</v>
      </c>
      <c r="AM3" s="44" t="s">
        <v>260</v>
      </c>
      <c r="AN3" s="43" t="s">
        <v>261</v>
      </c>
      <c r="AO3" s="30" t="s">
        <v>197</v>
      </c>
      <c r="AP3" s="43" t="s">
        <v>259</v>
      </c>
      <c r="AQ3" s="44" t="s">
        <v>260</v>
      </c>
      <c r="AR3" s="43" t="s">
        <v>261</v>
      </c>
      <c r="AS3" s="32"/>
    </row>
    <row r="4" s="2" customFormat="1" ht="18" customHeight="1" spans="1:45">
      <c r="A4" s="45" t="s">
        <v>262</v>
      </c>
      <c r="B4" s="45" t="s">
        <v>263</v>
      </c>
      <c r="C4" s="46" t="s">
        <v>264</v>
      </c>
      <c r="D4" s="47">
        <v>109.83</v>
      </c>
      <c r="E4" s="48" t="s">
        <v>265</v>
      </c>
      <c r="F4" s="47" t="s">
        <v>266</v>
      </c>
      <c r="G4" s="49">
        <v>46051</v>
      </c>
      <c r="H4" s="49">
        <v>46231</v>
      </c>
      <c r="I4" s="50">
        <v>6</v>
      </c>
      <c r="J4" s="51">
        <v>65000</v>
      </c>
      <c r="K4" s="51">
        <v>65000</v>
      </c>
      <c r="L4" s="51"/>
      <c r="M4" s="51">
        <f t="shared" ref="M4:M18" si="0">K4+L4</f>
        <v>65000</v>
      </c>
      <c r="N4" s="51">
        <f t="shared" ref="N4:N18" si="1">J4-M4</f>
        <v>0</v>
      </c>
      <c r="O4" s="51">
        <f t="shared" ref="O4:O18" si="2">K4/1.05*5%</f>
        <v>3095.2380952381</v>
      </c>
      <c r="P4" s="51">
        <f t="shared" ref="P4:P18" si="3">L4/1.05*5%</f>
        <v>0</v>
      </c>
      <c r="Q4" s="51">
        <f>(O4+P4)*7%</f>
        <v>216.666666666667</v>
      </c>
      <c r="R4" s="51">
        <f>(O4+P4)*3%</f>
        <v>92.8571428571429</v>
      </c>
      <c r="S4" s="51">
        <f>(O4+P4)*2%</f>
        <v>61.9047619047619</v>
      </c>
      <c r="T4" s="51">
        <f t="shared" ref="T4:T18" si="4">M4*0.1%</f>
        <v>65</v>
      </c>
      <c r="U4" s="51">
        <f>(J4-L4)/1.05/I4</f>
        <v>10317.4603174603</v>
      </c>
      <c r="V4" s="51">
        <f>L4/1.03/I4</f>
        <v>0</v>
      </c>
      <c r="W4" s="51">
        <f t="shared" ref="W4:W18" si="5">U4+V4</f>
        <v>10317.4603174603</v>
      </c>
      <c r="X4" s="51">
        <f t="shared" ref="X4:X18" si="6">W4*12%</f>
        <v>1238.09523809524</v>
      </c>
      <c r="Y4" s="29"/>
      <c r="Z4" s="30"/>
      <c r="AA4" s="31"/>
      <c r="AB4" s="30"/>
      <c r="AC4" s="52"/>
      <c r="AD4" s="52"/>
      <c r="AE4" s="53"/>
      <c r="AF4" s="52"/>
      <c r="AG4" s="52">
        <v>10317.4603174603</v>
      </c>
      <c r="AH4" s="52">
        <f t="shared" ref="AH4:AH14" si="7">AG4*12%</f>
        <v>1238.09523809524</v>
      </c>
      <c r="AI4" s="53">
        <v>0.5</v>
      </c>
      <c r="AJ4" s="54">
        <f t="shared" ref="AJ4:AJ14" si="8">AH4*AI4</f>
        <v>619.047619047619</v>
      </c>
      <c r="AK4" s="52">
        <v>10317.4603174603</v>
      </c>
      <c r="AL4" s="52">
        <f t="shared" ref="AL4:AL14" si="9">AK4*12%</f>
        <v>1238.09523809524</v>
      </c>
      <c r="AM4" s="53">
        <v>0.5</v>
      </c>
      <c r="AN4" s="54">
        <f t="shared" ref="AN4:AN14" si="10">AL4*AM4</f>
        <v>619.047619047619</v>
      </c>
      <c r="AO4" s="54">
        <f t="shared" ref="AO4:AO18" si="11">W4</f>
        <v>10317.4603174603</v>
      </c>
      <c r="AP4" s="52">
        <f t="shared" ref="AP4:AP18" si="12">AO4*12%</f>
        <v>1238.09523809524</v>
      </c>
      <c r="AQ4" s="53">
        <v>0.5</v>
      </c>
      <c r="AR4" s="54">
        <f t="shared" ref="AR4:AR18" si="13">AP4*AQ4</f>
        <v>619.047619047619</v>
      </c>
      <c r="AS4" s="55"/>
    </row>
    <row r="5" s="2" customFormat="1" ht="18" customHeight="1" spans="1:45">
      <c r="A5" s="45" t="s">
        <v>267</v>
      </c>
      <c r="B5" s="45" t="s">
        <v>268</v>
      </c>
      <c r="C5" s="46" t="s">
        <v>269</v>
      </c>
      <c r="D5" s="47">
        <v>59.49</v>
      </c>
      <c r="E5" s="48" t="s">
        <v>270</v>
      </c>
      <c r="F5" s="49"/>
      <c r="G5" s="49">
        <v>46101</v>
      </c>
      <c r="H5" s="49">
        <v>46253</v>
      </c>
      <c r="I5" s="50">
        <f>(H5-G5)/365*12</f>
        <v>4.9972602739726</v>
      </c>
      <c r="J5" s="51">
        <v>30000</v>
      </c>
      <c r="K5" s="51"/>
      <c r="L5" s="51">
        <v>30000</v>
      </c>
      <c r="M5" s="51">
        <f t="shared" si="0"/>
        <v>30000</v>
      </c>
      <c r="N5" s="51">
        <f t="shared" si="1"/>
        <v>0</v>
      </c>
      <c r="O5" s="51">
        <f t="shared" si="2"/>
        <v>0</v>
      </c>
      <c r="P5" s="51">
        <f t="shared" si="3"/>
        <v>1428.57142857143</v>
      </c>
      <c r="Q5" s="51">
        <f t="shared" ref="Q5:Q18" si="14">O5*7%</f>
        <v>0</v>
      </c>
      <c r="R5" s="51">
        <f t="shared" ref="R5:R18" si="15">O5*3%</f>
        <v>0</v>
      </c>
      <c r="S5" s="51">
        <f t="shared" ref="S5:S18" si="16">O5*2%</f>
        <v>0</v>
      </c>
      <c r="T5" s="51">
        <f t="shared" si="4"/>
        <v>30</v>
      </c>
      <c r="U5" s="51">
        <f>(J5-L5)/1.05/I5</f>
        <v>0</v>
      </c>
      <c r="V5" s="51">
        <f>J5/1.03/I5</f>
        <v>5828.43638221768</v>
      </c>
      <c r="W5" s="51">
        <f t="shared" si="5"/>
        <v>5828.43638221768</v>
      </c>
      <c r="X5" s="51">
        <f t="shared" si="6"/>
        <v>699.412365866122</v>
      </c>
      <c r="Y5" s="29"/>
      <c r="Z5" s="30"/>
      <c r="AA5" s="31"/>
      <c r="AB5" s="30"/>
      <c r="AC5" s="52"/>
      <c r="AD5" s="52"/>
      <c r="AE5" s="53"/>
      <c r="AF5" s="52"/>
      <c r="AG5" s="52"/>
      <c r="AH5" s="52"/>
      <c r="AI5" s="53"/>
      <c r="AJ5" s="54"/>
      <c r="AK5" s="52"/>
      <c r="AL5" s="52"/>
      <c r="AM5" s="53"/>
      <c r="AN5" s="54"/>
      <c r="AO5" s="54">
        <f t="shared" si="11"/>
        <v>5828.43638221768</v>
      </c>
      <c r="AP5" s="52">
        <f t="shared" si="12"/>
        <v>699.412365866122</v>
      </c>
      <c r="AQ5" s="53">
        <v>0.5</v>
      </c>
      <c r="AR5" s="54">
        <f t="shared" si="13"/>
        <v>349.706182933061</v>
      </c>
      <c r="AS5" s="55"/>
    </row>
    <row r="6" s="2" customFormat="1" ht="18" customHeight="1" spans="1:45">
      <c r="A6" s="45" t="s">
        <v>271</v>
      </c>
      <c r="B6" s="45" t="s">
        <v>272</v>
      </c>
      <c r="C6" s="46" t="s">
        <v>273</v>
      </c>
      <c r="D6" s="47">
        <v>363.29</v>
      </c>
      <c r="E6" s="48" t="s">
        <v>82</v>
      </c>
      <c r="F6" s="47" t="s">
        <v>274</v>
      </c>
      <c r="G6" s="49">
        <v>46023</v>
      </c>
      <c r="H6" s="49">
        <v>46387</v>
      </c>
      <c r="I6" s="50">
        <v>12</v>
      </c>
      <c r="J6" s="51">
        <v>270000</v>
      </c>
      <c r="K6" s="51">
        <v>270000</v>
      </c>
      <c r="L6" s="51"/>
      <c r="M6" s="51">
        <f t="shared" si="0"/>
        <v>270000</v>
      </c>
      <c r="N6" s="51">
        <f t="shared" si="1"/>
        <v>0</v>
      </c>
      <c r="O6" s="51">
        <f t="shared" si="2"/>
        <v>12857.1428571429</v>
      </c>
      <c r="P6" s="51">
        <f t="shared" si="3"/>
        <v>0</v>
      </c>
      <c r="Q6" s="51">
        <f t="shared" si="14"/>
        <v>900</v>
      </c>
      <c r="R6" s="51">
        <f t="shared" si="15"/>
        <v>385.714285714286</v>
      </c>
      <c r="S6" s="51">
        <f t="shared" si="16"/>
        <v>257.142857142857</v>
      </c>
      <c r="T6" s="51">
        <f t="shared" si="4"/>
        <v>270</v>
      </c>
      <c r="U6" s="51">
        <f t="shared" ref="U6:U18" si="17">K6/1.05/I6</f>
        <v>21428.5714285714</v>
      </c>
      <c r="V6" s="51">
        <f t="shared" ref="V6:V13" si="18">(J6-K6)/1.03/I6</f>
        <v>0</v>
      </c>
      <c r="W6" s="51">
        <f t="shared" si="5"/>
        <v>21428.5714285714</v>
      </c>
      <c r="X6" s="51">
        <f t="shared" si="6"/>
        <v>2571.42857142857</v>
      </c>
      <c r="Y6" s="29"/>
      <c r="Z6" s="30"/>
      <c r="AA6" s="31"/>
      <c r="AB6" s="30"/>
      <c r="AC6" s="52"/>
      <c r="AD6" s="52"/>
      <c r="AE6" s="53"/>
      <c r="AF6" s="52"/>
      <c r="AG6" s="52">
        <v>21428.5714285714</v>
      </c>
      <c r="AH6" s="52">
        <f t="shared" si="7"/>
        <v>2571.42857142857</v>
      </c>
      <c r="AI6" s="53">
        <v>0.5</v>
      </c>
      <c r="AJ6" s="54">
        <f t="shared" si="8"/>
        <v>1285.71428571429</v>
      </c>
      <c r="AK6" s="52">
        <v>21428.5714285714</v>
      </c>
      <c r="AL6" s="52">
        <f t="shared" si="9"/>
        <v>2571.42857142857</v>
      </c>
      <c r="AM6" s="53">
        <v>0.5</v>
      </c>
      <c r="AN6" s="54">
        <f t="shared" si="10"/>
        <v>1285.71428571429</v>
      </c>
      <c r="AO6" s="54">
        <f t="shared" si="11"/>
        <v>21428.5714285714</v>
      </c>
      <c r="AP6" s="52">
        <f t="shared" si="12"/>
        <v>2571.42857142857</v>
      </c>
      <c r="AQ6" s="53">
        <v>0.5</v>
      </c>
      <c r="AR6" s="54">
        <f t="shared" si="13"/>
        <v>1285.71428571429</v>
      </c>
      <c r="AS6" s="55"/>
    </row>
    <row r="7" s="2" customFormat="1" ht="18" customHeight="1" spans="1:45">
      <c r="A7" s="45" t="s">
        <v>275</v>
      </c>
      <c r="B7" s="45" t="s">
        <v>276</v>
      </c>
      <c r="C7" s="46" t="s">
        <v>277</v>
      </c>
      <c r="D7" s="47">
        <v>58.64</v>
      </c>
      <c r="E7" s="48" t="s">
        <v>278</v>
      </c>
      <c r="F7" s="47" t="s">
        <v>279</v>
      </c>
      <c r="G7" s="49">
        <v>46023</v>
      </c>
      <c r="H7" s="49">
        <v>46203</v>
      </c>
      <c r="I7" s="50">
        <v>6</v>
      </c>
      <c r="J7" s="51">
        <v>32500</v>
      </c>
      <c r="K7" s="51">
        <v>32500</v>
      </c>
      <c r="L7" s="51"/>
      <c r="M7" s="51">
        <f t="shared" si="0"/>
        <v>32500</v>
      </c>
      <c r="N7" s="51">
        <f t="shared" si="1"/>
        <v>0</v>
      </c>
      <c r="O7" s="51">
        <f t="shared" si="2"/>
        <v>1547.61904761905</v>
      </c>
      <c r="P7" s="51">
        <f t="shared" si="3"/>
        <v>0</v>
      </c>
      <c r="Q7" s="51">
        <f t="shared" si="14"/>
        <v>108.333333333333</v>
      </c>
      <c r="R7" s="51">
        <f t="shared" si="15"/>
        <v>46.4285714285714</v>
      </c>
      <c r="S7" s="51">
        <f t="shared" si="16"/>
        <v>30.952380952381</v>
      </c>
      <c r="T7" s="51">
        <f t="shared" si="4"/>
        <v>32.5</v>
      </c>
      <c r="U7" s="51">
        <f t="shared" si="17"/>
        <v>5158.73015873016</v>
      </c>
      <c r="V7" s="51">
        <f t="shared" si="18"/>
        <v>0</v>
      </c>
      <c r="W7" s="51">
        <f t="shared" si="5"/>
        <v>5158.73015873016</v>
      </c>
      <c r="X7" s="51">
        <f t="shared" si="6"/>
        <v>619.047619047619</v>
      </c>
      <c r="Y7" s="29"/>
      <c r="Z7" s="30"/>
      <c r="AA7" s="31"/>
      <c r="AB7" s="30"/>
      <c r="AC7" s="52"/>
      <c r="AD7" s="52"/>
      <c r="AE7" s="53"/>
      <c r="AF7" s="52"/>
      <c r="AG7" s="52">
        <v>5158.73015873016</v>
      </c>
      <c r="AH7" s="52">
        <f t="shared" si="7"/>
        <v>619.047619047619</v>
      </c>
      <c r="AI7" s="53">
        <v>0.5</v>
      </c>
      <c r="AJ7" s="54">
        <f t="shared" si="8"/>
        <v>309.523809523809</v>
      </c>
      <c r="AK7" s="52">
        <v>5158.73015873016</v>
      </c>
      <c r="AL7" s="52">
        <f t="shared" si="9"/>
        <v>619.047619047619</v>
      </c>
      <c r="AM7" s="53">
        <v>0.5</v>
      </c>
      <c r="AN7" s="54">
        <f t="shared" si="10"/>
        <v>309.523809523809</v>
      </c>
      <c r="AO7" s="54">
        <f t="shared" si="11"/>
        <v>5158.73015873016</v>
      </c>
      <c r="AP7" s="52">
        <f t="shared" si="12"/>
        <v>619.047619047619</v>
      </c>
      <c r="AQ7" s="53">
        <v>0.5</v>
      </c>
      <c r="AR7" s="54">
        <f t="shared" si="13"/>
        <v>309.523809523809</v>
      </c>
      <c r="AS7" s="55"/>
    </row>
    <row r="8" s="2" customFormat="1" ht="18" customHeight="1" spans="1:45">
      <c r="A8" s="45" t="s">
        <v>280</v>
      </c>
      <c r="B8" s="45" t="s">
        <v>281</v>
      </c>
      <c r="C8" s="46" t="s">
        <v>282</v>
      </c>
      <c r="D8" s="47">
        <v>54.31</v>
      </c>
      <c r="E8" s="48" t="s">
        <v>283</v>
      </c>
      <c r="F8" s="47" t="s">
        <v>284</v>
      </c>
      <c r="G8" s="49">
        <v>45971</v>
      </c>
      <c r="H8" s="49">
        <v>46335</v>
      </c>
      <c r="I8" s="50">
        <v>12</v>
      </c>
      <c r="J8" s="51">
        <v>23788</v>
      </c>
      <c r="K8" s="51">
        <v>10000</v>
      </c>
      <c r="L8" s="51">
        <v>10000</v>
      </c>
      <c r="M8" s="51">
        <f t="shared" si="0"/>
        <v>20000</v>
      </c>
      <c r="N8" s="51">
        <f t="shared" si="1"/>
        <v>3788</v>
      </c>
      <c r="O8" s="51">
        <f t="shared" si="2"/>
        <v>476.190476190476</v>
      </c>
      <c r="P8" s="51">
        <f t="shared" si="3"/>
        <v>476.190476190476</v>
      </c>
      <c r="Q8" s="51">
        <f t="shared" si="14"/>
        <v>33.3333333333333</v>
      </c>
      <c r="R8" s="51">
        <f t="shared" si="15"/>
        <v>14.2857142857143</v>
      </c>
      <c r="S8" s="51">
        <f t="shared" si="16"/>
        <v>9.52380952380952</v>
      </c>
      <c r="T8" s="51">
        <f t="shared" si="4"/>
        <v>20</v>
      </c>
      <c r="U8" s="51">
        <f t="shared" si="17"/>
        <v>793.650793650794</v>
      </c>
      <c r="V8" s="51">
        <f>(J8-K8)/1.03/8</f>
        <v>1673.30097087379</v>
      </c>
      <c r="W8" s="51">
        <f t="shared" si="5"/>
        <v>2466.95176452458</v>
      </c>
      <c r="X8" s="51">
        <f t="shared" si="6"/>
        <v>296.03421174295</v>
      </c>
      <c r="Y8" s="29">
        <v>1587.30158730159</v>
      </c>
      <c r="Z8" s="30">
        <f>Y8*12%</f>
        <v>190.47619047619</v>
      </c>
      <c r="AA8" s="31">
        <v>0.5</v>
      </c>
      <c r="AB8" s="30">
        <f>Z8*AA8</f>
        <v>95.2380952380952</v>
      </c>
      <c r="AC8" s="52">
        <v>1587.30158730159</v>
      </c>
      <c r="AD8" s="52">
        <f t="shared" ref="AD8:AD14" si="19">AC8*12%</f>
        <v>190.47619047619</v>
      </c>
      <c r="AE8" s="53">
        <v>0.5</v>
      </c>
      <c r="AF8" s="52">
        <f t="shared" ref="AF8:AF14" si="20">AD8*AE8</f>
        <v>95.2380952380952</v>
      </c>
      <c r="AG8" s="52">
        <v>1587.30158730159</v>
      </c>
      <c r="AH8" s="52">
        <f t="shared" si="7"/>
        <v>190.47619047619</v>
      </c>
      <c r="AI8" s="53">
        <v>0.5</v>
      </c>
      <c r="AJ8" s="54">
        <f t="shared" si="8"/>
        <v>95.2380952380952</v>
      </c>
      <c r="AK8" s="52">
        <v>1587.30158730159</v>
      </c>
      <c r="AL8" s="52">
        <f t="shared" si="9"/>
        <v>190.47619047619</v>
      </c>
      <c r="AM8" s="53">
        <v>0.5</v>
      </c>
      <c r="AN8" s="54">
        <f t="shared" si="10"/>
        <v>95.2380952380952</v>
      </c>
      <c r="AO8" s="54">
        <f t="shared" si="11"/>
        <v>2466.95176452458</v>
      </c>
      <c r="AP8" s="52">
        <f t="shared" si="12"/>
        <v>296.03421174295</v>
      </c>
      <c r="AQ8" s="53">
        <v>0.5</v>
      </c>
      <c r="AR8" s="54">
        <f t="shared" si="13"/>
        <v>148.017105871475</v>
      </c>
      <c r="AS8" s="55"/>
    </row>
    <row r="9" s="2" customFormat="1" ht="18" customHeight="1" spans="1:45">
      <c r="A9" s="45" t="s">
        <v>285</v>
      </c>
      <c r="B9" s="45" t="s">
        <v>286</v>
      </c>
      <c r="C9" s="46" t="s">
        <v>287</v>
      </c>
      <c r="D9" s="47">
        <v>43.01</v>
      </c>
      <c r="E9" s="48" t="s">
        <v>288</v>
      </c>
      <c r="F9" s="47" t="s">
        <v>289</v>
      </c>
      <c r="G9" s="49">
        <v>45992</v>
      </c>
      <c r="H9" s="49">
        <v>46356</v>
      </c>
      <c r="I9" s="50">
        <v>12</v>
      </c>
      <c r="J9" s="51">
        <v>23000</v>
      </c>
      <c r="K9" s="51">
        <v>23000</v>
      </c>
      <c r="L9" s="51"/>
      <c r="M9" s="51">
        <f t="shared" si="0"/>
        <v>23000</v>
      </c>
      <c r="N9" s="51">
        <f t="shared" si="1"/>
        <v>0</v>
      </c>
      <c r="O9" s="51">
        <f t="shared" si="2"/>
        <v>1095.2380952381</v>
      </c>
      <c r="P9" s="51">
        <f t="shared" si="3"/>
        <v>0</v>
      </c>
      <c r="Q9" s="51">
        <f t="shared" si="14"/>
        <v>76.6666666666667</v>
      </c>
      <c r="R9" s="51">
        <f t="shared" si="15"/>
        <v>32.8571428571429</v>
      </c>
      <c r="S9" s="51">
        <f t="shared" si="16"/>
        <v>21.9047619047619</v>
      </c>
      <c r="T9" s="51">
        <f t="shared" si="4"/>
        <v>23</v>
      </c>
      <c r="U9" s="51">
        <f t="shared" si="17"/>
        <v>1825.39682539683</v>
      </c>
      <c r="V9" s="51">
        <f t="shared" si="18"/>
        <v>0</v>
      </c>
      <c r="W9" s="51">
        <f t="shared" si="5"/>
        <v>1825.39682539683</v>
      </c>
      <c r="X9" s="51">
        <f t="shared" si="6"/>
        <v>219.047619047619</v>
      </c>
      <c r="Y9" s="29"/>
      <c r="Z9" s="30"/>
      <c r="AA9" s="31"/>
      <c r="AB9" s="30"/>
      <c r="AC9" s="52">
        <v>1825.39682539683</v>
      </c>
      <c r="AD9" s="52">
        <f t="shared" si="19"/>
        <v>219.047619047619</v>
      </c>
      <c r="AE9" s="53">
        <v>0.5</v>
      </c>
      <c r="AF9" s="52">
        <f t="shared" si="20"/>
        <v>109.52380952381</v>
      </c>
      <c r="AG9" s="52">
        <v>1825.39682539683</v>
      </c>
      <c r="AH9" s="52">
        <f t="shared" si="7"/>
        <v>219.047619047619</v>
      </c>
      <c r="AI9" s="53">
        <v>0.5</v>
      </c>
      <c r="AJ9" s="54">
        <f t="shared" si="8"/>
        <v>109.52380952381</v>
      </c>
      <c r="AK9" s="52">
        <v>1825.39682539683</v>
      </c>
      <c r="AL9" s="52">
        <f t="shared" si="9"/>
        <v>219.047619047619</v>
      </c>
      <c r="AM9" s="53">
        <v>0.5</v>
      </c>
      <c r="AN9" s="54">
        <f t="shared" si="10"/>
        <v>109.52380952381</v>
      </c>
      <c r="AO9" s="52">
        <f t="shared" si="11"/>
        <v>1825.39682539683</v>
      </c>
      <c r="AP9" s="52">
        <f t="shared" si="12"/>
        <v>219.047619047619</v>
      </c>
      <c r="AQ9" s="53">
        <v>0.5</v>
      </c>
      <c r="AR9" s="54">
        <f t="shared" si="13"/>
        <v>109.52380952381</v>
      </c>
      <c r="AS9" s="55" t="s">
        <v>290</v>
      </c>
    </row>
    <row r="10" s="2" customFormat="1" ht="18" customHeight="1" spans="1:45">
      <c r="A10" s="45" t="s">
        <v>291</v>
      </c>
      <c r="B10" s="45" t="s">
        <v>292</v>
      </c>
      <c r="C10" s="46" t="s">
        <v>293</v>
      </c>
      <c r="D10" s="47">
        <v>43.01</v>
      </c>
      <c r="E10" s="48" t="s">
        <v>294</v>
      </c>
      <c r="F10" s="47" t="s">
        <v>295</v>
      </c>
      <c r="G10" s="49">
        <v>45981</v>
      </c>
      <c r="H10" s="49">
        <v>46345</v>
      </c>
      <c r="I10" s="50">
        <v>12</v>
      </c>
      <c r="J10" s="51">
        <v>23000</v>
      </c>
      <c r="K10" s="51">
        <v>23000</v>
      </c>
      <c r="L10" s="51"/>
      <c r="M10" s="51">
        <f t="shared" si="0"/>
        <v>23000</v>
      </c>
      <c r="N10" s="51">
        <f t="shared" si="1"/>
        <v>0</v>
      </c>
      <c r="O10" s="51">
        <f t="shared" si="2"/>
        <v>1095.2380952381</v>
      </c>
      <c r="P10" s="51">
        <f t="shared" si="3"/>
        <v>0</v>
      </c>
      <c r="Q10" s="51">
        <f t="shared" si="14"/>
        <v>76.6666666666667</v>
      </c>
      <c r="R10" s="51">
        <f t="shared" si="15"/>
        <v>32.8571428571429</v>
      </c>
      <c r="S10" s="51">
        <f t="shared" si="16"/>
        <v>21.9047619047619</v>
      </c>
      <c r="T10" s="51">
        <f t="shared" si="4"/>
        <v>23</v>
      </c>
      <c r="U10" s="51">
        <f t="shared" si="17"/>
        <v>1825.39682539683</v>
      </c>
      <c r="V10" s="51">
        <f t="shared" si="18"/>
        <v>0</v>
      </c>
      <c r="W10" s="51">
        <f t="shared" si="5"/>
        <v>1825.39682539683</v>
      </c>
      <c r="X10" s="51">
        <f t="shared" si="6"/>
        <v>219.047619047619</v>
      </c>
      <c r="Y10" s="29"/>
      <c r="Z10" s="30"/>
      <c r="AA10" s="31"/>
      <c r="AB10" s="30"/>
      <c r="AC10" s="52">
        <v>1825.39682539683</v>
      </c>
      <c r="AD10" s="52">
        <f t="shared" si="19"/>
        <v>219.047619047619</v>
      </c>
      <c r="AE10" s="53">
        <v>0.5</v>
      </c>
      <c r="AF10" s="52">
        <f t="shared" si="20"/>
        <v>109.52380952381</v>
      </c>
      <c r="AG10" s="52">
        <v>1825.39682539683</v>
      </c>
      <c r="AH10" s="52">
        <f t="shared" si="7"/>
        <v>219.047619047619</v>
      </c>
      <c r="AI10" s="53">
        <v>0.5</v>
      </c>
      <c r="AJ10" s="54">
        <f t="shared" si="8"/>
        <v>109.52380952381</v>
      </c>
      <c r="AK10" s="52">
        <v>1825.39682539683</v>
      </c>
      <c r="AL10" s="52">
        <f t="shared" si="9"/>
        <v>219.047619047619</v>
      </c>
      <c r="AM10" s="53">
        <v>0.5</v>
      </c>
      <c r="AN10" s="54">
        <f t="shared" si="10"/>
        <v>109.52380952381</v>
      </c>
      <c r="AO10" s="52">
        <f t="shared" si="11"/>
        <v>1825.39682539683</v>
      </c>
      <c r="AP10" s="52">
        <f t="shared" si="12"/>
        <v>219.047619047619</v>
      </c>
      <c r="AQ10" s="53">
        <v>0.5</v>
      </c>
      <c r="AR10" s="54">
        <f t="shared" si="13"/>
        <v>109.52380952381</v>
      </c>
      <c r="AS10" s="55"/>
    </row>
    <row r="11" s="2" customFormat="1" ht="18" customHeight="1" spans="1:45">
      <c r="A11" s="45" t="s">
        <v>296</v>
      </c>
      <c r="B11" s="45" t="s">
        <v>297</v>
      </c>
      <c r="C11" s="46" t="s">
        <v>298</v>
      </c>
      <c r="D11" s="47">
        <v>43.01</v>
      </c>
      <c r="E11" s="48" t="s">
        <v>299</v>
      </c>
      <c r="F11" s="47" t="s">
        <v>284</v>
      </c>
      <c r="G11" s="49">
        <v>45977</v>
      </c>
      <c r="H11" s="49">
        <v>46341</v>
      </c>
      <c r="I11" s="50">
        <v>12</v>
      </c>
      <c r="J11" s="51">
        <v>23000</v>
      </c>
      <c r="K11" s="51">
        <v>23000</v>
      </c>
      <c r="L11" s="51"/>
      <c r="M11" s="51">
        <f t="shared" si="0"/>
        <v>23000</v>
      </c>
      <c r="N11" s="51">
        <f t="shared" si="1"/>
        <v>0</v>
      </c>
      <c r="O11" s="51">
        <f t="shared" si="2"/>
        <v>1095.2380952381</v>
      </c>
      <c r="P11" s="51">
        <f t="shared" si="3"/>
        <v>0</v>
      </c>
      <c r="Q11" s="51">
        <f t="shared" si="14"/>
        <v>76.6666666666667</v>
      </c>
      <c r="R11" s="51">
        <f t="shared" si="15"/>
        <v>32.8571428571429</v>
      </c>
      <c r="S11" s="51">
        <f t="shared" si="16"/>
        <v>21.9047619047619</v>
      </c>
      <c r="T11" s="51">
        <f t="shared" si="4"/>
        <v>23</v>
      </c>
      <c r="U11" s="51">
        <f t="shared" si="17"/>
        <v>1825.39682539683</v>
      </c>
      <c r="V11" s="51">
        <f t="shared" si="18"/>
        <v>0</v>
      </c>
      <c r="W11" s="51">
        <f t="shared" si="5"/>
        <v>1825.39682539683</v>
      </c>
      <c r="X11" s="51">
        <f t="shared" si="6"/>
        <v>219.047619047619</v>
      </c>
      <c r="Y11" s="29">
        <v>1825.39682539683</v>
      </c>
      <c r="Z11" s="30">
        <f>Y11*12%</f>
        <v>219.047619047619</v>
      </c>
      <c r="AA11" s="31">
        <f>50%</f>
        <v>0.5</v>
      </c>
      <c r="AB11" s="30">
        <f>Z11*AA11</f>
        <v>109.52380952381</v>
      </c>
      <c r="AC11" s="52">
        <v>1825.39682539683</v>
      </c>
      <c r="AD11" s="52">
        <f t="shared" si="19"/>
        <v>219.047619047619</v>
      </c>
      <c r="AE11" s="53">
        <v>0.5</v>
      </c>
      <c r="AF11" s="52">
        <f t="shared" si="20"/>
        <v>109.52380952381</v>
      </c>
      <c r="AG11" s="52">
        <v>1825.39682539683</v>
      </c>
      <c r="AH11" s="52">
        <f t="shared" si="7"/>
        <v>219.047619047619</v>
      </c>
      <c r="AI11" s="53">
        <v>0.5</v>
      </c>
      <c r="AJ11" s="54">
        <f t="shared" si="8"/>
        <v>109.52380952381</v>
      </c>
      <c r="AK11" s="52">
        <v>1825.39682539683</v>
      </c>
      <c r="AL11" s="52">
        <f t="shared" si="9"/>
        <v>219.047619047619</v>
      </c>
      <c r="AM11" s="53">
        <v>0.5</v>
      </c>
      <c r="AN11" s="54">
        <f t="shared" si="10"/>
        <v>109.52380952381</v>
      </c>
      <c r="AO11" s="52">
        <f t="shared" si="11"/>
        <v>1825.39682539683</v>
      </c>
      <c r="AP11" s="52">
        <f t="shared" si="12"/>
        <v>219.047619047619</v>
      </c>
      <c r="AQ11" s="53">
        <v>0.5</v>
      </c>
      <c r="AR11" s="54">
        <f t="shared" si="13"/>
        <v>109.52380952381</v>
      </c>
      <c r="AS11" s="55"/>
    </row>
    <row r="12" s="2" customFormat="1" ht="18" customHeight="1" spans="1:45">
      <c r="A12" s="45" t="s">
        <v>300</v>
      </c>
      <c r="B12" s="45" t="s">
        <v>301</v>
      </c>
      <c r="C12" s="46" t="s">
        <v>302</v>
      </c>
      <c r="D12" s="47">
        <v>132.64</v>
      </c>
      <c r="E12" s="48" t="s">
        <v>303</v>
      </c>
      <c r="F12" s="47" t="s">
        <v>304</v>
      </c>
      <c r="G12" s="49">
        <v>45998</v>
      </c>
      <c r="H12" s="49">
        <v>46362</v>
      </c>
      <c r="I12" s="50">
        <v>12</v>
      </c>
      <c r="J12" s="51">
        <v>58000</v>
      </c>
      <c r="K12" s="51">
        <v>58000</v>
      </c>
      <c r="L12" s="51"/>
      <c r="M12" s="51">
        <f t="shared" si="0"/>
        <v>58000</v>
      </c>
      <c r="N12" s="51">
        <f t="shared" si="1"/>
        <v>0</v>
      </c>
      <c r="O12" s="51">
        <f t="shared" si="2"/>
        <v>2761.90476190476</v>
      </c>
      <c r="P12" s="51">
        <f t="shared" si="3"/>
        <v>0</v>
      </c>
      <c r="Q12" s="51">
        <f t="shared" si="14"/>
        <v>193.333333333333</v>
      </c>
      <c r="R12" s="51">
        <f t="shared" si="15"/>
        <v>82.8571428571429</v>
      </c>
      <c r="S12" s="51">
        <f t="shared" si="16"/>
        <v>55.2380952380952</v>
      </c>
      <c r="T12" s="51">
        <f t="shared" si="4"/>
        <v>58</v>
      </c>
      <c r="U12" s="51">
        <f t="shared" si="17"/>
        <v>4603.1746031746</v>
      </c>
      <c r="V12" s="51">
        <f t="shared" si="18"/>
        <v>0</v>
      </c>
      <c r="W12" s="51">
        <f t="shared" si="5"/>
        <v>4603.1746031746</v>
      </c>
      <c r="X12" s="51">
        <f t="shared" si="6"/>
        <v>552.380952380952</v>
      </c>
      <c r="Y12" s="29"/>
      <c r="Z12" s="30"/>
      <c r="AA12" s="31"/>
      <c r="AB12" s="30"/>
      <c r="AC12" s="52">
        <v>4603.1746031746</v>
      </c>
      <c r="AD12" s="52">
        <f t="shared" si="19"/>
        <v>552.380952380952</v>
      </c>
      <c r="AE12" s="53">
        <v>0.5</v>
      </c>
      <c r="AF12" s="52">
        <f t="shared" si="20"/>
        <v>276.190476190476</v>
      </c>
      <c r="AG12" s="52">
        <v>4603.1746031746</v>
      </c>
      <c r="AH12" s="52">
        <f t="shared" si="7"/>
        <v>552.380952380952</v>
      </c>
      <c r="AI12" s="53">
        <v>0.5</v>
      </c>
      <c r="AJ12" s="54">
        <f t="shared" si="8"/>
        <v>276.190476190476</v>
      </c>
      <c r="AK12" s="52">
        <v>4603.1746031746</v>
      </c>
      <c r="AL12" s="52">
        <f t="shared" si="9"/>
        <v>552.380952380952</v>
      </c>
      <c r="AM12" s="53">
        <v>0.5</v>
      </c>
      <c r="AN12" s="54">
        <f t="shared" si="10"/>
        <v>276.190476190476</v>
      </c>
      <c r="AO12" s="52">
        <f t="shared" si="11"/>
        <v>4603.1746031746</v>
      </c>
      <c r="AP12" s="52">
        <f t="shared" si="12"/>
        <v>552.380952380952</v>
      </c>
      <c r="AQ12" s="53">
        <v>0.5</v>
      </c>
      <c r="AR12" s="54">
        <f t="shared" si="13"/>
        <v>276.190476190476</v>
      </c>
      <c r="AS12" s="55"/>
    </row>
    <row r="13" s="2" customFormat="1" ht="18" customHeight="1" spans="1:45">
      <c r="A13" s="45" t="s">
        <v>305</v>
      </c>
      <c r="B13" s="45" t="s">
        <v>306</v>
      </c>
      <c r="C13" s="46" t="s">
        <v>307</v>
      </c>
      <c r="D13" s="47">
        <v>62.89</v>
      </c>
      <c r="E13" s="48" t="s">
        <v>308</v>
      </c>
      <c r="F13" s="47" t="s">
        <v>309</v>
      </c>
      <c r="G13" s="49">
        <v>45983</v>
      </c>
      <c r="H13" s="49">
        <v>46439</v>
      </c>
      <c r="I13" s="50">
        <v>15</v>
      </c>
      <c r="J13" s="51">
        <v>47100</v>
      </c>
      <c r="K13" s="51">
        <v>47100</v>
      </c>
      <c r="L13" s="51"/>
      <c r="M13" s="51">
        <f t="shared" si="0"/>
        <v>47100</v>
      </c>
      <c r="N13" s="51">
        <f t="shared" si="1"/>
        <v>0</v>
      </c>
      <c r="O13" s="51">
        <f t="shared" si="2"/>
        <v>2242.85714285714</v>
      </c>
      <c r="P13" s="51">
        <f t="shared" si="3"/>
        <v>0</v>
      </c>
      <c r="Q13" s="51">
        <f t="shared" si="14"/>
        <v>157</v>
      </c>
      <c r="R13" s="51">
        <f t="shared" si="15"/>
        <v>67.2857142857143</v>
      </c>
      <c r="S13" s="51">
        <f t="shared" si="16"/>
        <v>44.8571428571429</v>
      </c>
      <c r="T13" s="51">
        <f t="shared" si="4"/>
        <v>47.1</v>
      </c>
      <c r="U13" s="51">
        <f t="shared" si="17"/>
        <v>2990.47619047619</v>
      </c>
      <c r="V13" s="51">
        <f t="shared" si="18"/>
        <v>0</v>
      </c>
      <c r="W13" s="51">
        <f t="shared" si="5"/>
        <v>2990.47619047619</v>
      </c>
      <c r="X13" s="51">
        <f t="shared" si="6"/>
        <v>358.857142857143</v>
      </c>
      <c r="Y13" s="29"/>
      <c r="Z13" s="30"/>
      <c r="AA13" s="31"/>
      <c r="AB13" s="30"/>
      <c r="AC13" s="52">
        <v>2990.47619047619</v>
      </c>
      <c r="AD13" s="52">
        <f t="shared" si="19"/>
        <v>358.857142857143</v>
      </c>
      <c r="AE13" s="53">
        <v>0.5</v>
      </c>
      <c r="AF13" s="52">
        <f t="shared" si="20"/>
        <v>179.428571428571</v>
      </c>
      <c r="AG13" s="52">
        <v>2990.47619047619</v>
      </c>
      <c r="AH13" s="52">
        <f t="shared" si="7"/>
        <v>358.857142857143</v>
      </c>
      <c r="AI13" s="53">
        <v>0.5</v>
      </c>
      <c r="AJ13" s="54">
        <f t="shared" si="8"/>
        <v>179.428571428571</v>
      </c>
      <c r="AK13" s="52">
        <v>2990.47619047619</v>
      </c>
      <c r="AL13" s="52">
        <f t="shared" si="9"/>
        <v>358.857142857143</v>
      </c>
      <c r="AM13" s="53">
        <v>0.5</v>
      </c>
      <c r="AN13" s="54">
        <f t="shared" si="10"/>
        <v>179.428571428571</v>
      </c>
      <c r="AO13" s="52">
        <f t="shared" si="11"/>
        <v>2990.47619047619</v>
      </c>
      <c r="AP13" s="52">
        <f t="shared" si="12"/>
        <v>358.857142857143</v>
      </c>
      <c r="AQ13" s="53">
        <v>0.5</v>
      </c>
      <c r="AR13" s="54">
        <f t="shared" si="13"/>
        <v>179.428571428571</v>
      </c>
      <c r="AS13" s="55" t="s">
        <v>290</v>
      </c>
    </row>
    <row r="14" s="2" customFormat="1" ht="18" customHeight="1" spans="1:45">
      <c r="A14" s="56" t="s">
        <v>310</v>
      </c>
      <c r="B14" s="56" t="s">
        <v>311</v>
      </c>
      <c r="C14" s="57" t="s">
        <v>312</v>
      </c>
      <c r="D14" s="20">
        <v>99.18</v>
      </c>
      <c r="E14" s="21" t="s">
        <v>34</v>
      </c>
      <c r="F14" s="20" t="s">
        <v>304</v>
      </c>
      <c r="G14" s="58">
        <v>46001</v>
      </c>
      <c r="H14" s="58">
        <v>46365</v>
      </c>
      <c r="I14" s="22">
        <v>12</v>
      </c>
      <c r="J14" s="23">
        <v>30000</v>
      </c>
      <c r="K14" s="23">
        <f>15000</f>
        <v>15000</v>
      </c>
      <c r="L14" s="23">
        <v>9000</v>
      </c>
      <c r="M14" s="23">
        <f t="shared" si="0"/>
        <v>24000</v>
      </c>
      <c r="N14" s="23">
        <f t="shared" si="1"/>
        <v>6000</v>
      </c>
      <c r="O14" s="51">
        <f t="shared" si="2"/>
        <v>714.285714285714</v>
      </c>
      <c r="P14" s="51">
        <f t="shared" si="3"/>
        <v>428.571428571429</v>
      </c>
      <c r="Q14" s="51">
        <f t="shared" si="14"/>
        <v>50</v>
      </c>
      <c r="R14" s="51">
        <f t="shared" si="15"/>
        <v>21.4285714285714</v>
      </c>
      <c r="S14" s="51">
        <f t="shared" si="16"/>
        <v>14.2857142857143</v>
      </c>
      <c r="T14" s="51">
        <f t="shared" si="4"/>
        <v>24</v>
      </c>
      <c r="U14" s="51">
        <f t="shared" si="17"/>
        <v>1190.47619047619</v>
      </c>
      <c r="V14" s="23">
        <f>(J14-K14)/1.03/9</f>
        <v>1618.12297734628</v>
      </c>
      <c r="W14" s="23">
        <f t="shared" si="5"/>
        <v>2808.59916782247</v>
      </c>
      <c r="X14" s="23">
        <f t="shared" si="6"/>
        <v>337.031900138696</v>
      </c>
      <c r="Y14" s="59"/>
      <c r="Z14" s="60"/>
      <c r="AA14" s="61"/>
      <c r="AB14" s="60"/>
      <c r="AC14" s="52">
        <v>1904.7619047619</v>
      </c>
      <c r="AD14" s="52">
        <f t="shared" si="19"/>
        <v>228.571428571429</v>
      </c>
      <c r="AE14" s="53">
        <v>0.5</v>
      </c>
      <c r="AF14" s="52">
        <f t="shared" si="20"/>
        <v>114.285714285714</v>
      </c>
      <c r="AG14" s="52">
        <v>1904.7619047619</v>
      </c>
      <c r="AH14" s="52">
        <f t="shared" si="7"/>
        <v>228.571428571429</v>
      </c>
      <c r="AI14" s="53">
        <v>0.5</v>
      </c>
      <c r="AJ14" s="54">
        <f t="shared" si="8"/>
        <v>114.285714285714</v>
      </c>
      <c r="AK14" s="52">
        <v>1904.7619047619</v>
      </c>
      <c r="AL14" s="52">
        <f t="shared" si="9"/>
        <v>228.571428571429</v>
      </c>
      <c r="AM14" s="53">
        <v>0.5</v>
      </c>
      <c r="AN14" s="54">
        <f t="shared" si="10"/>
        <v>114.285714285714</v>
      </c>
      <c r="AO14" s="52">
        <f t="shared" si="11"/>
        <v>2808.59916782247</v>
      </c>
      <c r="AP14" s="52">
        <f t="shared" si="12"/>
        <v>337.031900138696</v>
      </c>
      <c r="AQ14" s="53">
        <v>0.5</v>
      </c>
      <c r="AR14" s="54">
        <f t="shared" si="13"/>
        <v>168.515950069348</v>
      </c>
      <c r="AS14" s="55"/>
    </row>
    <row r="15" s="3" customFormat="1" ht="18" customHeight="1" spans="1:45">
      <c r="A15" s="62" t="s">
        <v>313</v>
      </c>
      <c r="B15" s="62" t="s">
        <v>314</v>
      </c>
      <c r="C15" s="63" t="s">
        <v>315</v>
      </c>
      <c r="D15" s="64">
        <v>51.2</v>
      </c>
      <c r="E15" s="65" t="s">
        <v>316</v>
      </c>
      <c r="F15" s="66" t="s">
        <v>317</v>
      </c>
      <c r="G15" s="67">
        <v>46113</v>
      </c>
      <c r="H15" s="68">
        <v>46477</v>
      </c>
      <c r="I15" s="69">
        <f t="shared" ref="I15:I18" si="21">(H15-G15)/365*12</f>
        <v>11.9671232876712</v>
      </c>
      <c r="J15" s="70">
        <v>43000</v>
      </c>
      <c r="K15" s="70"/>
      <c r="L15" s="70">
        <v>43000</v>
      </c>
      <c r="M15" s="70">
        <f t="shared" si="0"/>
        <v>43000</v>
      </c>
      <c r="N15" s="71">
        <f t="shared" si="1"/>
        <v>0</v>
      </c>
      <c r="O15" s="72">
        <f t="shared" si="2"/>
        <v>0</v>
      </c>
      <c r="P15" s="72">
        <f t="shared" si="3"/>
        <v>2047.61904761905</v>
      </c>
      <c r="Q15" s="72">
        <f t="shared" si="14"/>
        <v>0</v>
      </c>
      <c r="R15" s="72">
        <f t="shared" si="15"/>
        <v>0</v>
      </c>
      <c r="S15" s="72">
        <f t="shared" si="16"/>
        <v>0</v>
      </c>
      <c r="T15" s="72">
        <f t="shared" si="4"/>
        <v>43</v>
      </c>
      <c r="U15" s="51">
        <f t="shared" si="17"/>
        <v>0</v>
      </c>
      <c r="V15" s="71">
        <f t="shared" ref="V15:V18" si="22">(J15-K15)/1.03/I15</f>
        <v>3488.52199580355</v>
      </c>
      <c r="W15" s="71">
        <f t="shared" si="5"/>
        <v>3488.52199580355</v>
      </c>
      <c r="X15" s="71">
        <f t="shared" si="6"/>
        <v>418.622639496426</v>
      </c>
      <c r="Y15" s="70"/>
      <c r="Z15" s="70"/>
      <c r="AA15" s="73"/>
      <c r="AB15" s="70"/>
      <c r="AC15" s="54"/>
      <c r="AD15" s="54"/>
      <c r="AE15" s="74"/>
      <c r="AF15" s="54"/>
      <c r="AG15" s="54"/>
      <c r="AH15" s="54"/>
      <c r="AI15" s="74"/>
      <c r="AJ15" s="54"/>
      <c r="AK15" s="54"/>
      <c r="AL15" s="54"/>
      <c r="AM15" s="74"/>
      <c r="AN15" s="54"/>
      <c r="AO15" s="54"/>
      <c r="AP15" s="54">
        <f t="shared" si="12"/>
        <v>0</v>
      </c>
      <c r="AQ15" s="74">
        <v>0.5</v>
      </c>
      <c r="AR15" s="54">
        <f t="shared" si="13"/>
        <v>0</v>
      </c>
      <c r="AS15" s="75"/>
    </row>
    <row r="16" s="2" customFormat="1" ht="18" customHeight="1" spans="1:45">
      <c r="A16" s="76" t="s">
        <v>318</v>
      </c>
      <c r="B16" s="76" t="s">
        <v>319</v>
      </c>
      <c r="C16" s="77" t="s">
        <v>320</v>
      </c>
      <c r="D16" s="78">
        <v>43.01</v>
      </c>
      <c r="E16" s="79" t="s">
        <v>36</v>
      </c>
      <c r="F16" s="46" t="s">
        <v>321</v>
      </c>
      <c r="G16" s="80">
        <v>46103</v>
      </c>
      <c r="H16" s="81">
        <v>46467</v>
      </c>
      <c r="I16" s="22">
        <f t="shared" si="21"/>
        <v>11.9671232876712</v>
      </c>
      <c r="J16" s="60">
        <v>26000</v>
      </c>
      <c r="K16" s="60"/>
      <c r="L16" s="60">
        <v>26000</v>
      </c>
      <c r="M16" s="60">
        <f t="shared" si="0"/>
        <v>26000</v>
      </c>
      <c r="N16" s="23">
        <f t="shared" si="1"/>
        <v>0</v>
      </c>
      <c r="O16" s="51">
        <f t="shared" si="2"/>
        <v>0</v>
      </c>
      <c r="P16" s="51">
        <f t="shared" si="3"/>
        <v>1238.09523809524</v>
      </c>
      <c r="Q16" s="51">
        <f t="shared" si="14"/>
        <v>0</v>
      </c>
      <c r="R16" s="51">
        <f t="shared" si="15"/>
        <v>0</v>
      </c>
      <c r="S16" s="51">
        <f t="shared" si="16"/>
        <v>0</v>
      </c>
      <c r="T16" s="51">
        <f t="shared" si="4"/>
        <v>26</v>
      </c>
      <c r="U16" s="51">
        <f t="shared" si="17"/>
        <v>0</v>
      </c>
      <c r="V16" s="71">
        <f t="shared" si="22"/>
        <v>2109.33888118354</v>
      </c>
      <c r="W16" s="23">
        <f t="shared" si="5"/>
        <v>2109.33888118354</v>
      </c>
      <c r="X16" s="23">
        <f t="shared" si="6"/>
        <v>253.120665742025</v>
      </c>
      <c r="Y16" s="60"/>
      <c r="Z16" s="60"/>
      <c r="AA16" s="61"/>
      <c r="AB16" s="60"/>
      <c r="AC16" s="52"/>
      <c r="AD16" s="52"/>
      <c r="AE16" s="53"/>
      <c r="AF16" s="52"/>
      <c r="AG16" s="52"/>
      <c r="AH16" s="52"/>
      <c r="AI16" s="53"/>
      <c r="AJ16" s="54"/>
      <c r="AK16" s="52"/>
      <c r="AL16" s="52"/>
      <c r="AM16" s="53"/>
      <c r="AN16" s="54"/>
      <c r="AO16" s="52"/>
      <c r="AP16" s="52">
        <f t="shared" si="12"/>
        <v>0</v>
      </c>
      <c r="AQ16" s="53">
        <v>0.5</v>
      </c>
      <c r="AR16" s="54">
        <f t="shared" si="13"/>
        <v>0</v>
      </c>
      <c r="AS16" s="55"/>
    </row>
    <row r="17" s="3" customFormat="1" ht="18" customHeight="1" spans="1:45">
      <c r="A17" s="62" t="s">
        <v>322</v>
      </c>
      <c r="B17" s="62" t="s">
        <v>323</v>
      </c>
      <c r="C17" s="63" t="s">
        <v>324</v>
      </c>
      <c r="D17" s="64">
        <v>62.92</v>
      </c>
      <c r="E17" s="65" t="s">
        <v>35</v>
      </c>
      <c r="F17" s="66" t="s">
        <v>325</v>
      </c>
      <c r="G17" s="67">
        <v>46073</v>
      </c>
      <c r="H17" s="68">
        <v>46437</v>
      </c>
      <c r="I17" s="69">
        <f t="shared" si="21"/>
        <v>11.9671232876712</v>
      </c>
      <c r="J17" s="70">
        <v>20000</v>
      </c>
      <c r="K17" s="70"/>
      <c r="L17" s="70">
        <v>20000</v>
      </c>
      <c r="M17" s="70">
        <f t="shared" si="0"/>
        <v>20000</v>
      </c>
      <c r="N17" s="71">
        <f t="shared" si="1"/>
        <v>0</v>
      </c>
      <c r="O17" s="72">
        <f t="shared" si="2"/>
        <v>0</v>
      </c>
      <c r="P17" s="72">
        <f t="shared" si="3"/>
        <v>952.380952380952</v>
      </c>
      <c r="Q17" s="72">
        <f t="shared" si="14"/>
        <v>0</v>
      </c>
      <c r="R17" s="72">
        <f t="shared" si="15"/>
        <v>0</v>
      </c>
      <c r="S17" s="72">
        <f t="shared" si="16"/>
        <v>0</v>
      </c>
      <c r="T17" s="72">
        <f t="shared" si="4"/>
        <v>20</v>
      </c>
      <c r="U17" s="51">
        <f t="shared" si="17"/>
        <v>0</v>
      </c>
      <c r="V17" s="71">
        <f t="shared" si="22"/>
        <v>1622.56837014119</v>
      </c>
      <c r="W17" s="71">
        <f t="shared" si="5"/>
        <v>1622.56837014119</v>
      </c>
      <c r="X17" s="71">
        <f t="shared" si="6"/>
        <v>194.708204416942</v>
      </c>
      <c r="Y17" s="70"/>
      <c r="Z17" s="70"/>
      <c r="AA17" s="73"/>
      <c r="AB17" s="70"/>
      <c r="AC17" s="54"/>
      <c r="AD17" s="54"/>
      <c r="AE17" s="74"/>
      <c r="AF17" s="54"/>
      <c r="AG17" s="54"/>
      <c r="AH17" s="54"/>
      <c r="AI17" s="74"/>
      <c r="AJ17" s="54"/>
      <c r="AK17" s="54"/>
      <c r="AL17" s="54"/>
      <c r="AM17" s="74"/>
      <c r="AN17" s="54"/>
      <c r="AO17" s="54">
        <f t="shared" si="11"/>
        <v>1622.56837014119</v>
      </c>
      <c r="AP17" s="54">
        <f t="shared" si="12"/>
        <v>194.708204416942</v>
      </c>
      <c r="AQ17" s="74">
        <v>0.5</v>
      </c>
      <c r="AR17" s="54">
        <f t="shared" si="13"/>
        <v>97.3541022084711</v>
      </c>
      <c r="AS17" s="75"/>
    </row>
    <row r="18" s="3" customFormat="1" ht="18" customHeight="1" spans="1:45">
      <c r="A18" s="62" t="s">
        <v>326</v>
      </c>
      <c r="B18" s="62" t="s">
        <v>314</v>
      </c>
      <c r="C18" s="63" t="s">
        <v>327</v>
      </c>
      <c r="D18" s="64">
        <v>144.18</v>
      </c>
      <c r="E18" s="65" t="s">
        <v>328</v>
      </c>
      <c r="F18" s="66" t="s">
        <v>325</v>
      </c>
      <c r="G18" s="67">
        <v>46104</v>
      </c>
      <c r="H18" s="68">
        <v>47250</v>
      </c>
      <c r="I18" s="69">
        <f t="shared" si="21"/>
        <v>37.6767123287671</v>
      </c>
      <c r="J18" s="70">
        <v>126000</v>
      </c>
      <c r="K18" s="70"/>
      <c r="L18" s="70">
        <v>21000</v>
      </c>
      <c r="M18" s="70">
        <f t="shared" si="0"/>
        <v>21000</v>
      </c>
      <c r="N18" s="71">
        <f t="shared" si="1"/>
        <v>105000</v>
      </c>
      <c r="O18" s="72">
        <f t="shared" si="2"/>
        <v>0</v>
      </c>
      <c r="P18" s="72">
        <f t="shared" si="3"/>
        <v>1000</v>
      </c>
      <c r="Q18" s="72">
        <f t="shared" si="14"/>
        <v>0</v>
      </c>
      <c r="R18" s="72">
        <f t="shared" si="15"/>
        <v>0</v>
      </c>
      <c r="S18" s="72">
        <f t="shared" si="16"/>
        <v>0</v>
      </c>
      <c r="T18" s="72">
        <f t="shared" si="4"/>
        <v>21</v>
      </c>
      <c r="U18" s="51">
        <f t="shared" si="17"/>
        <v>0</v>
      </c>
      <c r="V18" s="71">
        <f t="shared" si="22"/>
        <v>3246.83576475372</v>
      </c>
      <c r="W18" s="71">
        <f t="shared" si="5"/>
        <v>3246.83576475372</v>
      </c>
      <c r="X18" s="71">
        <f t="shared" si="6"/>
        <v>389.620291770447</v>
      </c>
      <c r="Y18" s="70"/>
      <c r="Z18" s="70"/>
      <c r="AA18" s="73"/>
      <c r="AB18" s="70"/>
      <c r="AC18" s="54"/>
      <c r="AD18" s="54"/>
      <c r="AE18" s="74"/>
      <c r="AF18" s="54"/>
      <c r="AG18" s="54"/>
      <c r="AH18" s="54"/>
      <c r="AI18" s="74"/>
      <c r="AJ18" s="54"/>
      <c r="AK18" s="54"/>
      <c r="AL18" s="54"/>
      <c r="AM18" s="74"/>
      <c r="AN18" s="54"/>
      <c r="AO18" s="54">
        <f t="shared" si="11"/>
        <v>3246.83576475372</v>
      </c>
      <c r="AP18" s="54">
        <f t="shared" si="12"/>
        <v>389.620291770447</v>
      </c>
      <c r="AQ18" s="74">
        <v>0.5</v>
      </c>
      <c r="AR18" s="54">
        <f t="shared" si="13"/>
        <v>194.810145885223</v>
      </c>
      <c r="AS18" s="75"/>
    </row>
    <row r="19" s="4" customFormat="1" spans="1:45">
      <c r="A19" s="82"/>
      <c r="B19" s="82" t="s">
        <v>22</v>
      </c>
      <c r="C19" s="83"/>
      <c r="D19" s="84"/>
      <c r="E19" s="85"/>
      <c r="F19" s="84"/>
      <c r="G19" s="84"/>
      <c r="H19" s="84"/>
      <c r="I19" s="86"/>
      <c r="J19" s="87">
        <f t="shared" ref="J19:O19" si="23">SUM(J4:J18)</f>
        <v>840388</v>
      </c>
      <c r="K19" s="87"/>
      <c r="L19" s="87"/>
      <c r="M19" s="87">
        <f t="shared" si="23"/>
        <v>725600</v>
      </c>
      <c r="N19" s="87">
        <f t="shared" si="23"/>
        <v>114788</v>
      </c>
      <c r="O19" s="87">
        <f t="shared" si="23"/>
        <v>26980.9523809524</v>
      </c>
      <c r="P19" s="87"/>
      <c r="Q19" s="87">
        <f t="shared" ref="Q19:T19" si="24">SUM(Q4:Q18)</f>
        <v>1888.66666666667</v>
      </c>
      <c r="R19" s="87">
        <f t="shared" si="24"/>
        <v>809.428571428572</v>
      </c>
      <c r="S19" s="87">
        <f t="shared" si="24"/>
        <v>539.619047619048</v>
      </c>
      <c r="T19" s="87">
        <f t="shared" si="24"/>
        <v>725.6</v>
      </c>
      <c r="U19" s="87"/>
      <c r="V19" s="87"/>
      <c r="W19" s="87">
        <f t="shared" ref="W19:AR19" si="25">SUM(W4:W18)</f>
        <v>71545.8555010499</v>
      </c>
      <c r="X19" s="87">
        <f t="shared" si="25"/>
        <v>8585.50266012599</v>
      </c>
      <c r="Y19" s="87">
        <f t="shared" si="25"/>
        <v>3412.69841269841</v>
      </c>
      <c r="Z19" s="87">
        <f t="shared" si="25"/>
        <v>409.52380952381</v>
      </c>
      <c r="AA19" s="87">
        <f t="shared" si="25"/>
        <v>1</v>
      </c>
      <c r="AB19" s="87">
        <f t="shared" si="25"/>
        <v>204.761904761905</v>
      </c>
      <c r="AC19" s="87">
        <f t="shared" si="25"/>
        <v>16561.9047619048</v>
      </c>
      <c r="AD19" s="87">
        <f t="shared" si="25"/>
        <v>1987.42857142857</v>
      </c>
      <c r="AE19" s="87">
        <f t="shared" si="25"/>
        <v>3.5</v>
      </c>
      <c r="AF19" s="87">
        <f t="shared" si="25"/>
        <v>993.714285714286</v>
      </c>
      <c r="AG19" s="87">
        <f t="shared" si="25"/>
        <v>53466.6666666667</v>
      </c>
      <c r="AH19" s="87">
        <f t="shared" si="25"/>
        <v>6416</v>
      </c>
      <c r="AI19" s="87">
        <f t="shared" si="25"/>
        <v>5</v>
      </c>
      <c r="AJ19" s="87">
        <f t="shared" si="25"/>
        <v>3208</v>
      </c>
      <c r="AK19" s="87">
        <f t="shared" si="25"/>
        <v>53466.6666666667</v>
      </c>
      <c r="AL19" s="87">
        <f t="shared" si="25"/>
        <v>6416</v>
      </c>
      <c r="AM19" s="87">
        <f t="shared" si="25"/>
        <v>5</v>
      </c>
      <c r="AN19" s="87">
        <f t="shared" si="25"/>
        <v>3208</v>
      </c>
      <c r="AO19" s="87">
        <f t="shared" si="25"/>
        <v>65947.9946240628</v>
      </c>
      <c r="AP19" s="87">
        <f t="shared" si="25"/>
        <v>7913.75935488754</v>
      </c>
      <c r="AQ19" s="87">
        <f t="shared" si="25"/>
        <v>7.5</v>
      </c>
      <c r="AR19" s="87">
        <f t="shared" si="25"/>
        <v>3956.87967744377</v>
      </c>
      <c r="AS19" s="83"/>
    </row>
    <row r="20" s="2" customFormat="1" spans="1:45">
      <c r="A20" s="88" t="s">
        <v>329</v>
      </c>
      <c r="B20" s="88"/>
      <c r="C20" s="88"/>
      <c r="D20" s="89"/>
      <c r="E20" s="88"/>
      <c r="F20" s="89"/>
      <c r="G20" s="89"/>
      <c r="H20" s="89"/>
      <c r="I20" s="90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2"/>
      <c r="AB20" s="93"/>
      <c r="AC20" s="9"/>
      <c r="AD20" s="9"/>
      <c r="AE20" s="10"/>
      <c r="AF20" s="9"/>
      <c r="AG20" s="9"/>
      <c r="AH20" s="9"/>
      <c r="AI20" s="10"/>
      <c r="AJ20" s="9"/>
      <c r="AK20" s="9"/>
      <c r="AL20" s="9"/>
      <c r="AM20" s="10"/>
      <c r="AN20" s="9"/>
      <c r="AO20" s="9"/>
      <c r="AP20" s="9"/>
      <c r="AQ20" s="10"/>
      <c r="AR20" s="9"/>
    </row>
    <row r="21" s="2" customFormat="1" spans="1:45">
      <c r="A21" s="5"/>
      <c r="B21" s="5"/>
      <c r="D21" s="6"/>
      <c r="E21" s="7"/>
      <c r="F21" s="6"/>
      <c r="G21" s="6"/>
      <c r="H21" s="6"/>
      <c r="I21" s="8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10"/>
      <c r="AB21" s="9"/>
      <c r="AC21" s="9"/>
      <c r="AD21" s="9"/>
      <c r="AE21" s="10"/>
      <c r="AF21" s="9"/>
      <c r="AG21" s="9"/>
      <c r="AH21" s="9"/>
      <c r="AI21" s="10"/>
      <c r="AJ21" s="9"/>
      <c r="AK21" s="9"/>
      <c r="AL21" s="9"/>
      <c r="AM21" s="10"/>
      <c r="AN21" s="9" t="s">
        <v>330</v>
      </c>
      <c r="AO21" s="9">
        <f>AO19-AO13-AO9</f>
        <v>61132.1216081898</v>
      </c>
      <c r="AP21" s="9"/>
      <c r="AQ21" s="10"/>
      <c r="AR21" s="9"/>
    </row>
    <row r="22" s="2" customFormat="1" spans="1:45">
      <c r="A22" s="5"/>
      <c r="B22" s="5"/>
      <c r="D22" s="6"/>
      <c r="E22" s="9"/>
      <c r="F22" s="2"/>
      <c r="G22" s="6"/>
      <c r="H22" s="6"/>
      <c r="I22" s="8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10"/>
      <c r="AB22" s="9"/>
      <c r="AC22" s="9"/>
      <c r="AD22" s="9"/>
      <c r="AE22" s="10"/>
      <c r="AF22" s="9"/>
      <c r="AG22" s="52"/>
      <c r="AH22" s="52" t="s">
        <v>331</v>
      </c>
      <c r="AI22" s="52">
        <f>AH19+AL19+AP19*4</f>
        <v>44487.0374195501</v>
      </c>
      <c r="AJ22" s="9"/>
      <c r="AK22" s="9"/>
      <c r="AL22" s="10"/>
      <c r="AM22" s="9"/>
      <c r="AN22" s="9"/>
      <c r="AO22" s="9"/>
      <c r="AP22" s="10"/>
      <c r="AQ22" s="9"/>
    </row>
    <row r="23" s="2" customFormat="1" spans="1:45">
      <c r="A23" s="5"/>
      <c r="B23" s="5"/>
      <c r="D23" s="6"/>
      <c r="E23" s="9"/>
      <c r="F23" s="94"/>
      <c r="G23" s="6"/>
      <c r="H23" s="6"/>
      <c r="I23" s="8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10"/>
      <c r="AB23" s="9"/>
      <c r="AC23" s="9"/>
      <c r="AD23" s="9"/>
      <c r="AE23" s="10"/>
      <c r="AF23" s="9"/>
      <c r="AG23" s="52"/>
      <c r="AH23" s="52"/>
      <c r="AI23" s="52"/>
      <c r="AJ23" s="9"/>
      <c r="AK23" s="9"/>
      <c r="AL23" s="10"/>
      <c r="AM23" s="9"/>
      <c r="AN23" s="9"/>
      <c r="AO23" s="9"/>
      <c r="AP23" s="10"/>
      <c r="AQ23" s="9"/>
    </row>
    <row r="24" s="2" customFormat="1" spans="1:45">
      <c r="A24" s="5"/>
      <c r="B24" s="5"/>
      <c r="D24" s="6"/>
      <c r="E24" s="9"/>
      <c r="F24" s="94"/>
      <c r="G24" s="6"/>
      <c r="H24" s="6"/>
      <c r="I24" s="8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10"/>
      <c r="AB24" s="9"/>
      <c r="AC24" s="9"/>
      <c r="AD24" s="9"/>
      <c r="AE24" s="10"/>
      <c r="AF24" s="9"/>
      <c r="AG24" s="52" t="s">
        <v>332</v>
      </c>
      <c r="AH24" s="52" t="s">
        <v>53</v>
      </c>
      <c r="AI24" s="52">
        <f>AH4+AH5+AH6+AH7*2+AP4+AP5+AP6+AP7*4</f>
        <v>12032.7456991995</v>
      </c>
      <c r="AJ24" s="9"/>
      <c r="AK24" s="9"/>
      <c r="AL24" s="10"/>
      <c r="AM24" s="9"/>
      <c r="AN24" s="9"/>
      <c r="AO24" s="9"/>
      <c r="AP24" s="10"/>
      <c r="AQ24" s="9"/>
    </row>
    <row r="25" s="2" customFormat="1" spans="1:45">
      <c r="A25" s="5"/>
      <c r="B25" s="5"/>
      <c r="D25" s="6"/>
      <c r="E25" s="9"/>
      <c r="F25" s="94"/>
      <c r="G25" s="6"/>
      <c r="H25" s="6"/>
      <c r="I25" s="8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10"/>
      <c r="AB25" s="9"/>
      <c r="AC25" s="9"/>
      <c r="AD25" s="9"/>
      <c r="AE25" s="10"/>
      <c r="AF25" s="9"/>
      <c r="AG25" s="52"/>
      <c r="AH25" s="52" t="s">
        <v>333</v>
      </c>
      <c r="AI25" s="52">
        <f>AI22-AI24</f>
        <v>32454.2917203507</v>
      </c>
      <c r="AJ25" s="9"/>
      <c r="AK25" s="9"/>
      <c r="AL25" s="10"/>
      <c r="AM25" s="9"/>
      <c r="AN25" s="9"/>
      <c r="AO25" s="9"/>
      <c r="AP25" s="10"/>
      <c r="AQ25" s="9"/>
    </row>
  </sheetData>
  <autoFilter xmlns:etc="http://www.wps.cn/officeDocument/2017/etCustomData" ref="A3:R20" etc:filterBottomFollowUsedRange="0">
    <extLst/>
  </autoFilter>
  <mergeCells count="21">
    <mergeCell ref="A1:AB1"/>
    <mergeCell ref="O2:T2"/>
    <mergeCell ref="Y2:AB2"/>
    <mergeCell ref="AC2:AF2"/>
    <mergeCell ref="AG2:AJ2"/>
    <mergeCell ref="AK2:AN2"/>
    <mergeCell ref="AO2:AR2"/>
    <mergeCell ref="A20:AB20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N2:N3"/>
    <mergeCell ref="X2:X3"/>
    <mergeCell ref="AS2:AS3"/>
  </mergeCells>
  <pageMargins left="1.25" right="1.25" top="1" bottom="1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房产税&amp;土地使用税</vt:lpstr>
      <vt:lpstr>房产税</vt:lpstr>
      <vt:lpstr>2026.1季度税金  </vt:lpstr>
      <vt:lpstr>2026.3月房产税计算表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WPS_1598868827</cp:lastModifiedBy>
  <dcterms:created xsi:type="dcterms:W3CDTF">2023-01-10T11:08:00Z</dcterms:created>
  <dcterms:modified xsi:type="dcterms:W3CDTF">2026-04-07T08:21:00Z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  <property fmtid="{D5CDD505-2E9C-101B-9397-08002B2CF9AE}" pid="4" name="ICV">
    <vt:lpwstr>6AE1BBCBA6EC499384AE56DC0F168B7B_13</vt:lpwstr>
  </property>
  <property fmtid="{D5CDD505-2E9C-101B-9397-08002B2CF9AE}" pid="5" name="KSOProductBuildVer">
    <vt:lpwstr>2052-12.1.0.25225</vt:lpwstr>
  </property>
  <property fmtid="{D5CDD505-2E9C-101B-9397-08002B2CF9AE}" pid="6" name="KSOReadingLayout">
    <vt:bool>true</vt:bool>
  </property>
  <property fmtid="{D5CDD505-2E9C-101B-9397-08002B2CF9AE}" pid="7" name="CalculationRule">
    <vt:i4>0</vt:i4>
  </property>
</Properties>
</file>