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36"/>
            <rFont val="宋体"/>
            <charset val="134"/>
          </rPr>
          <t>38333:</t>
        </r>
        <r>
          <rPr>
            <sz val="36"/>
            <rFont val="宋体"/>
            <charset val="134"/>
          </rPr>
          <t xml:space="preserve">
特殊类扣款或特殊类补贴，须在备注栏载明详细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<sst xmlns="http://schemas.openxmlformats.org/spreadsheetml/2006/main" count="447" uniqueCount="125">
  <si>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</si>
  <si>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</si>
  <si>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</si>
  <si>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</si>
  <si>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</si>
  <si>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</si>
  <si>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</si>
  <si>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</si>
  <si>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</si>
  <si>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</si>
  <si>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</si>
  <si>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</si>
  <si>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</si>
  <si>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</si>
  <si>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</si>
  <si>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</si>
  <si>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</si>
  <si>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</si>
  <si>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</si>
  <si>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</si>
  <si>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</si>
  <si>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</si>
  <si>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</si>
  <si>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</si>
  <si>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</si>
  <si>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</si>
  <si>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</si>
  <si>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</si>
  <si>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</si>
  <si>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画堂春酒店</t>
  </si>
  <si>
    <t>画堂春酒店公司全称2025年12月工资表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</si>
  <si>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</si>
  <si>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</si>
  <si>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</si>
  <si>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</si>
  <si>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</si>
  <si>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</si>
  <si>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</si>
  <si>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</si>
  <si>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</si>
  <si>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</si>
  <si>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</si>
  <si>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</si>
  <si>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</si>
  <si>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</si>
  <si>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</si>
  <si>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</si>
  <si>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杨鸿鑫</t>
  </si>
  <si>
    <t>酒店业主代表</t>
  </si>
  <si>
    <t>邱小艳</t>
  </si>
  <si>
    <t>前厅经理</t>
  </si>
  <si>
    <t>PB</t>
  </si>
  <si>
    <t>张智慧</t>
  </si>
  <si>
    <t>前厅接待</t>
  </si>
  <si>
    <t>散客、好评提成</t>
  </si>
  <si>
    <t>陈明美</t>
  </si>
  <si>
    <t>马萌</t>
  </si>
  <si>
    <t>吕丽苹</t>
  </si>
  <si>
    <t>出纳</t>
  </si>
  <si>
    <t>林姣</t>
  </si>
  <si>
    <t>朱月贞</t>
  </si>
  <si>
    <t>客房服务员</t>
  </si>
  <si>
    <t>客房提成</t>
  </si>
  <si>
    <t>王青林</t>
  </si>
  <si>
    <t>万能工</t>
  </si>
  <si>
    <t>吴英</t>
  </si>
  <si>
    <t>保洁</t>
  </si>
  <si>
    <t>王学</t>
  </si>
  <si>
    <t>运营</t>
  </si>
  <si>
    <t>合计</t>
  </si>
  <si>
    <t>注：</t>
  </si>
  <si>
    <t>前台佣金含散客提成（首住总金额6%，续住总金额3%）和线上好评提成（携程20/条，其他平台10/条）。
客房保底每天12间，超出间数按8元/间计算（退房续房都是8元/间）。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</si>
  <si>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</si>
  <si>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</si>
  <si>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</si>
  <si>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</si>
  <si>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</si>
  <si>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</si>
  <si>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</si>
  <si>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</si>
  <si>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</si>
  <si>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</si>
  <si>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</si>
  <si>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</si>
  <si>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</si>
  <si>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</si>
  <si>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</si>
  <si>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</si>
  <si>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</si>
  <si>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</si>
  <si>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</si>
  <si>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</si>
  <si>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</si>
  <si>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</si>
  <si>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</si>
  <si>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>产假</t>
  </si>
  <si>
    <t>陪护假</t>
  </si>
  <si>
    <t>婚丧假</t>
  </si>
  <si>
    <t>待岗</t>
  </si>
  <si>
    <t>√</t>
  </si>
  <si>
    <t>月度应发</t>
  </si>
  <si>
    <t>差额</t>
  </si>
  <si>
    <t>差额备注</t>
  </si>
  <si>
    <t>兼职</t>
  </si>
  <si>
    <t>散客提成和线上好评</t>
  </si>
  <si>
    <t>客房打扫提成</t>
  </si>
  <si>
    <t>职务序列</t>
  </si>
  <si>
    <t>月度基本工资比例</t>
  </si>
  <si>
    <t>月度绩效奖金比例</t>
  </si>
  <si>
    <t>年度奖金比例</t>
  </si>
  <si>
    <t>高管级</t>
  </si>
  <si>
    <t>A1</t>
  </si>
  <si>
    <t>A2</t>
  </si>
  <si>
    <t>A3</t>
  </si>
  <si>
    <t>A4</t>
  </si>
  <si>
    <t>A5</t>
  </si>
  <si>
    <t>经理级</t>
  </si>
  <si>
    <t>M1</t>
  </si>
  <si>
    <t>M2</t>
  </si>
  <si>
    <t>M3</t>
  </si>
  <si>
    <t>主管级</t>
  </si>
  <si>
    <t>PM</t>
  </si>
  <si>
    <t>普通职员</t>
  </si>
  <si>
    <t>销售职员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</si>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</sst>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72"/>
      <color theme="1"/>
      <name val="宋体"/>
      <charset val="134"/>
      <scheme val="minor"/>
    </font>
    <font>
      <b/>
      <sz val="65"/>
      <color theme="1"/>
      <name val="宋体"/>
      <charset val="134"/>
      <scheme val="minor"/>
    </font>
    <font>
      <sz val="65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sz val="6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36"/>
      <name val="宋体"/>
      <charset val="134"/>
    </font>
    <font>
      <sz val="3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52" applyFont="1" applyAlignment="1">
      <alignment horizontal="right" vertical="center" wrapText="1"/>
    </xf>
    <xf numFmtId="0" fontId="6" fillId="0" borderId="0" xfId="52" applyFont="1" applyAlignment="1">
      <alignment horizontal="center" vertical="center" wrapText="1"/>
    </xf>
    <xf numFmtId="0" fontId="6" fillId="0" borderId="0" xfId="52" applyFont="1" applyAlignment="1">
      <alignment horizontal="left" vertical="center" wrapText="1"/>
    </xf>
    <xf numFmtId="0" fontId="7" fillId="0" borderId="2" xfId="52" applyFont="1" applyBorder="1" applyAlignment="1">
      <alignment horizontal="left" vertical="center"/>
    </xf>
    <xf numFmtId="0" fontId="7" fillId="0" borderId="2" xfId="52" applyFont="1" applyBorder="1" applyAlignment="1">
      <alignment horizontal="center" vertical="center"/>
    </xf>
    <xf numFmtId="0" fontId="7" fillId="0" borderId="2" xfId="52" applyFont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7" fillId="0" borderId="0" xfId="52" applyFont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center" vertical="center" wrapText="1"/>
    </xf>
    <xf numFmtId="0" fontId="9" fillId="2" borderId="5" xfId="52" applyFont="1" applyFill="1" applyBorder="1" applyAlignment="1">
      <alignment horizontal="center" vertical="center" wrapText="1"/>
    </xf>
    <xf numFmtId="0" fontId="9" fillId="2" borderId="6" xfId="52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 wrapText="1"/>
    </xf>
    <xf numFmtId="0" fontId="7" fillId="2" borderId="8" xfId="5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2" borderId="9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left" vertical="center" wrapText="1"/>
    </xf>
    <xf numFmtId="0" fontId="9" fillId="2" borderId="6" xfId="52" applyFont="1" applyFill="1" applyBorder="1" applyAlignment="1">
      <alignment horizontal="left" vertical="center" wrapText="1"/>
    </xf>
    <xf numFmtId="0" fontId="7" fillId="2" borderId="10" xfId="52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9" fillId="2" borderId="11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 shrinkToFit="1"/>
    </xf>
    <xf numFmtId="0" fontId="9" fillId="2" borderId="1" xfId="52" applyFont="1" applyFill="1" applyBorder="1" applyAlignment="1">
      <alignment horizontal="center" vertical="center" wrapText="1"/>
    </xf>
    <xf numFmtId="0" fontId="10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5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50" applyFont="1" applyBorder="1" applyAlignment="1">
      <alignment horizontal="center" vertical="center" wrapText="1"/>
    </xf>
    <xf numFmtId="0" fontId="11" fillId="2" borderId="11" xfId="50" applyFont="1" applyFill="1" applyBorder="1" applyAlignment="1">
      <alignment horizontal="center" vertical="center"/>
    </xf>
    <xf numFmtId="0" fontId="13" fillId="0" borderId="1" xfId="5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9" fillId="0" borderId="0" xfId="52" applyFont="1" applyAlignment="1">
      <alignment horizontal="left" vertical="center"/>
    </xf>
    <xf numFmtId="0" fontId="11" fillId="0" borderId="0" xfId="50" applyFont="1" applyAlignment="1">
      <alignment horizontal="center" vertical="center"/>
    </xf>
    <xf numFmtId="0" fontId="13" fillId="0" borderId="0" xfId="53" applyFont="1" applyAlignment="1">
      <alignment horizontal="center" vertical="center"/>
    </xf>
    <xf numFmtId="0" fontId="13" fillId="0" borderId="0" xfId="53" applyFont="1" applyAlignment="1">
      <alignment horizontal="center" vertical="center" wrapText="1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9" fillId="2" borderId="1" xfId="52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4 8" xfId="50"/>
    <cellStyle name="常规 3" xfId="51"/>
    <cellStyle name="常规_Sheet1" xfId="52"/>
    <cellStyle name="常规_Sheet1_1" xfId="53"/>
  </cellStyles>
  <tableStyles count="1" defaultTableStyle="TableStyleMedium2" defaultPivotStyle="PivotStyleLight16">
    <tableStyle name="Invisible" pivot="0" table="0" count="0" xr9:uid="{02DABAC9-CC21-4E58-A58A-445324CE2D80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 refreshError="1">
        <row r="10">
          <cell r="A10" t="str">
            <v>2025年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599993896298105"/>
  </sheetPr>
  <dimension ref="A2:Z10"/>
  <sheetViews>
    <sheetView showZeros="0" zoomScale="75" zoomScaleNormal="75" workbookViewId="0">
      <selection activeCell="Q4" sqref="Q4"/>
    </sheetView>
  </sheetViews>
  <sheetFormatPr defaultColWidth="9" defaultRowHeight="13.5"/>
  <cols>
    <col min="1" max="1" width="49.6" style="1" customWidth="1"/>
    <col min="2" max="2" width="9" style="1"/>
    <col min="3" max="4" width="11.5333333333333" style="1" customWidth="1"/>
    <col min="5" max="7" width="9.4" style="1" customWidth="1"/>
    <col min="8" max="9" width="9" style="1"/>
    <col min="10" max="10" width="12.6" style="1" customWidth="1"/>
    <col min="11" max="11" width="10.5333333333333" style="1" customWidth="1"/>
    <col min="12" max="12" width="9.4" style="1"/>
    <col min="13" max="13" width="10.5333333333333" style="1" customWidth="1"/>
    <col min="14" max="16" width="13.7333333333333" style="1" customWidth="1"/>
    <col min="17" max="17" width="10.5333333333333" style="1" customWidth="1"/>
    <col min="18" max="20" width="9" style="1"/>
    <col min="21" max="22" width="13.7333333333333" style="1" customWidth="1"/>
    <col min="23" max="24" width="9" style="1"/>
    <col min="25" max="25" width="13" style="1" customWidth="1"/>
    <col min="26" max="16384" width="9" style="1"/>
  </cols>
  <sheetData>
    <row r="2" s="61" customFormat="1" ht="50" customHeight="1" spans="1:26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/>
      <c r="N2" s="6" t="s">
        <v>2</v>
      </c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 t="s">
        <v>4</v>
      </c>
      <c r="Z2" s="6" t="s">
        <v>5</v>
      </c>
    </row>
    <row r="3" s="61" customFormat="1" ht="50" customHeight="1" spans="1:2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18</v>
      </c>
      <c r="Y3" s="6"/>
      <c r="Z3" s="6"/>
    </row>
    <row r="4" ht="50" customHeight="1" spans="1:26">
      <c r="A4" s="8" t="s">
        <v>29</v>
      </c>
      <c r="B4" s="2">
        <v>11</v>
      </c>
      <c r="C4" s="9">
        <f>工资表!E16</f>
        <v>36900</v>
      </c>
      <c r="D4" s="9"/>
      <c r="E4" s="9">
        <f>工资表!G16</f>
        <v>29520</v>
      </c>
      <c r="F4" s="9">
        <f>工资表!H16</f>
        <v>7380</v>
      </c>
      <c r="G4" s="9"/>
      <c r="H4" s="9"/>
      <c r="I4" s="9"/>
      <c r="J4" s="9"/>
      <c r="K4" s="9">
        <f>工资表!M16</f>
        <v>13000</v>
      </c>
      <c r="L4" s="9">
        <f>工资表!N16</f>
        <v>2930.65</v>
      </c>
      <c r="M4" s="9">
        <f>工资表!O16</f>
        <v>15930.65</v>
      </c>
      <c r="N4" s="9"/>
      <c r="O4" s="9"/>
      <c r="P4" s="9"/>
      <c r="Q4" s="9">
        <f>工资表!S16</f>
        <v>49680.65</v>
      </c>
      <c r="R4" s="9">
        <f>工资表!T16</f>
        <v>2400</v>
      </c>
      <c r="S4" s="9">
        <f>工资表!U16</f>
        <v>120</v>
      </c>
      <c r="T4" s="9">
        <f>工资表!V16</f>
        <v>600</v>
      </c>
      <c r="U4" s="9">
        <f>工资表!W16</f>
        <v>0</v>
      </c>
      <c r="V4" s="9"/>
      <c r="W4" s="9">
        <f>工资表!Y16</f>
        <v>0</v>
      </c>
      <c r="X4" s="9">
        <f>工资表!Z16</f>
        <v>3120</v>
      </c>
      <c r="Y4" s="9">
        <f>工资表!AA16</f>
        <v>46560.65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399975585192419"/>
    <pageSetUpPr fitToPage="1"/>
  </sheetPr>
  <dimension ref="A1:AB32"/>
  <sheetViews>
    <sheetView showZeros="0" tabSelected="1" zoomScale="18" zoomScaleNormal="18" workbookViewId="0">
      <selection activeCell="U18" sqref="U18"/>
    </sheetView>
  </sheetViews>
  <sheetFormatPr defaultColWidth="9" defaultRowHeight="20" customHeight="1"/>
  <cols>
    <col min="1" max="1" width="20.825" style="1" customWidth="1"/>
    <col min="2" max="2" width="50.7333333333333" style="1" customWidth="1"/>
    <col min="3" max="3" width="76" style="1" customWidth="1"/>
    <col min="4" max="4" width="30.6" style="1" customWidth="1"/>
    <col min="5" max="5" width="56.9333333333333" style="1" customWidth="1"/>
    <col min="6" max="6" width="30.6" style="1" customWidth="1"/>
    <col min="7" max="7" width="62.2666666666667" style="1" customWidth="1"/>
    <col min="8" max="8" width="50.6" style="1" customWidth="1"/>
    <col min="9" max="9" width="32.7333333333333" style="1" customWidth="1"/>
    <col min="10" max="10" width="32.7333333333333" style="1" hidden="1" customWidth="1"/>
    <col min="11" max="12" width="40.7333333333333" style="1" customWidth="1"/>
    <col min="13" max="13" width="60.6" style="1" customWidth="1"/>
    <col min="14" max="14" width="50.6" style="1" customWidth="1"/>
    <col min="15" max="15" width="60.6" style="1" customWidth="1"/>
    <col min="16" max="17" width="50.6" style="1" customWidth="1"/>
    <col min="18" max="18" width="30.6" style="1" customWidth="1"/>
    <col min="19" max="19" width="62.8" style="60" customWidth="1"/>
    <col min="20" max="22" width="50.6" style="1" customWidth="1"/>
    <col min="23" max="23" width="44.4666666666667" style="1" customWidth="1"/>
    <col min="24" max="24" width="46.5333333333333" style="1" customWidth="1"/>
    <col min="25" max="25" width="50.6" style="1" customWidth="1"/>
    <col min="26" max="26" width="60.6" style="1" customWidth="1"/>
    <col min="27" max="27" width="60.6" style="61" customWidth="1"/>
    <col min="28" max="28" width="89.5833333333333" style="1" customWidth="1"/>
    <col min="29" max="16384" width="9" style="1"/>
  </cols>
  <sheetData>
    <row r="1" s="57" customFormat="1" ht="160.05" customHeight="1" spans="1:28">
      <c r="A1" s="62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2"/>
      <c r="U1" s="62"/>
      <c r="V1" s="62"/>
      <c r="W1" s="62"/>
      <c r="X1" s="62"/>
      <c r="Y1" s="62"/>
      <c r="Z1" s="62"/>
      <c r="AA1" s="62"/>
      <c r="AB1" s="62"/>
    </row>
    <row r="2" s="57" customFormat="1" ht="60" customHeight="1" spans="1:28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62"/>
      <c r="U2" s="62"/>
      <c r="V2" s="62"/>
      <c r="W2" s="62"/>
      <c r="X2" s="62"/>
      <c r="Y2" s="62"/>
      <c r="Z2" s="62"/>
      <c r="AA2" s="62"/>
      <c r="AB2" s="62"/>
    </row>
    <row r="3" s="58" customFormat="1" ht="171" customHeight="1" spans="1:28">
      <c r="A3" s="64" t="s">
        <v>31</v>
      </c>
      <c r="B3" s="64" t="s">
        <v>0</v>
      </c>
      <c r="C3" s="64"/>
      <c r="D3" s="64"/>
      <c r="E3" s="64"/>
      <c r="F3" s="64"/>
      <c r="G3" s="64"/>
      <c r="H3" s="64"/>
      <c r="I3" s="64"/>
      <c r="J3" s="64" t="s">
        <v>1</v>
      </c>
      <c r="K3" s="64"/>
      <c r="L3" s="64"/>
      <c r="M3" s="64"/>
      <c r="N3" s="64"/>
      <c r="O3" s="64"/>
      <c r="P3" s="64" t="s">
        <v>2</v>
      </c>
      <c r="Q3" s="64"/>
      <c r="R3" s="64"/>
      <c r="S3" s="65"/>
      <c r="T3" s="64" t="s">
        <v>3</v>
      </c>
      <c r="U3" s="64"/>
      <c r="V3" s="64"/>
      <c r="W3" s="64"/>
      <c r="X3" s="64"/>
      <c r="Y3" s="64"/>
      <c r="Z3" s="64"/>
      <c r="AA3" s="64" t="s">
        <v>4</v>
      </c>
      <c r="AB3" s="64" t="s">
        <v>5</v>
      </c>
    </row>
    <row r="4" s="58" customFormat="1" ht="204" customHeight="1" spans="1:28">
      <c r="A4" s="64"/>
      <c r="B4" s="64" t="s">
        <v>32</v>
      </c>
      <c r="C4" s="64" t="s">
        <v>33</v>
      </c>
      <c r="D4" s="66" t="s">
        <v>34</v>
      </c>
      <c r="E4" s="66" t="s">
        <v>35</v>
      </c>
      <c r="F4" s="66" t="s">
        <v>36</v>
      </c>
      <c r="G4" s="66" t="s">
        <v>37</v>
      </c>
      <c r="H4" s="66" t="s">
        <v>38</v>
      </c>
      <c r="I4" s="66" t="s">
        <v>39</v>
      </c>
      <c r="J4" s="66" t="s">
        <v>40</v>
      </c>
      <c r="K4" s="66" t="s">
        <v>41</v>
      </c>
      <c r="L4" s="66" t="s">
        <v>42</v>
      </c>
      <c r="M4" s="64" t="s">
        <v>16</v>
      </c>
      <c r="N4" s="64" t="s">
        <v>17</v>
      </c>
      <c r="O4" s="64" t="s">
        <v>18</v>
      </c>
      <c r="P4" s="66" t="s">
        <v>43</v>
      </c>
      <c r="Q4" s="66" t="s">
        <v>44</v>
      </c>
      <c r="R4" s="66" t="s">
        <v>45</v>
      </c>
      <c r="S4" s="65" t="s">
        <v>22</v>
      </c>
      <c r="T4" s="64" t="s">
        <v>23</v>
      </c>
      <c r="U4" s="64" t="s">
        <v>24</v>
      </c>
      <c r="V4" s="64" t="s">
        <v>25</v>
      </c>
      <c r="W4" s="66" t="s">
        <v>46</v>
      </c>
      <c r="X4" s="66" t="s">
        <v>27</v>
      </c>
      <c r="Y4" s="64" t="s">
        <v>28</v>
      </c>
      <c r="Z4" s="64" t="s">
        <v>18</v>
      </c>
      <c r="AA4" s="64"/>
      <c r="AB4" s="64"/>
    </row>
    <row r="5" s="59" customFormat="1" ht="171" customHeight="1" spans="1:28">
      <c r="A5" s="67">
        <v>1</v>
      </c>
      <c r="B5" s="67" t="s">
        <v>47</v>
      </c>
      <c r="C5" s="67" t="s">
        <v>48</v>
      </c>
      <c r="D5" s="67"/>
      <c r="E5" s="68"/>
      <c r="F5" s="67">
        <v>31</v>
      </c>
      <c r="G5" s="68"/>
      <c r="H5" s="68"/>
      <c r="I5" s="68"/>
      <c r="J5" s="68"/>
      <c r="K5" s="68"/>
      <c r="L5" s="68"/>
      <c r="M5" s="68">
        <v>10000</v>
      </c>
      <c r="N5" s="68"/>
      <c r="O5" s="69">
        <f t="shared" ref="O5:O12" si="0">SUM(J5:N5)</f>
        <v>10000</v>
      </c>
      <c r="P5" s="68"/>
      <c r="Q5" s="68"/>
      <c r="R5" s="70">
        <f>VLOOKUP(B5,考勤!B:AI,34,0)</f>
        <v>31</v>
      </c>
      <c r="S5" s="65">
        <f t="shared" ref="S5:S9" si="1">(P5*R5)+(Q5*R5)+O5</f>
        <v>10000</v>
      </c>
      <c r="T5" s="68">
        <v>400</v>
      </c>
      <c r="U5" s="68">
        <v>20</v>
      </c>
      <c r="V5" s="68">
        <v>100</v>
      </c>
      <c r="W5" s="68"/>
      <c r="X5" s="68"/>
      <c r="Y5" s="71"/>
      <c r="Z5" s="69">
        <f t="shared" ref="Z5:Z12" si="2">SUM(T5:Y5)</f>
        <v>520</v>
      </c>
      <c r="AA5" s="65">
        <f t="shared" ref="AA5:AA15" si="3">S5-Z5</f>
        <v>9480</v>
      </c>
      <c r="AB5" s="67"/>
    </row>
    <row r="6" s="59" customFormat="1" ht="171" customHeight="1" spans="1:28">
      <c r="A6" s="67">
        <v>2</v>
      </c>
      <c r="B6" s="67" t="s">
        <v>49</v>
      </c>
      <c r="C6" s="67" t="s">
        <v>50</v>
      </c>
      <c r="D6" s="67" t="s">
        <v>51</v>
      </c>
      <c r="E6" s="68">
        <v>6500</v>
      </c>
      <c r="F6" s="67">
        <v>27</v>
      </c>
      <c r="G6" s="68">
        <f>E6*VLOOKUP(D6,职务序列取数!B:E,2,0)</f>
        <v>5200</v>
      </c>
      <c r="H6" s="68">
        <f>E6*VLOOKUP(D6,职务序列取数!B:E,3,0)</f>
        <v>1300</v>
      </c>
      <c r="I6" s="68">
        <f>E6*VLOOKUP(D6,职务序列取数!B:E,4,0)</f>
        <v>0</v>
      </c>
      <c r="J6" s="68"/>
      <c r="K6" s="68"/>
      <c r="L6" s="68"/>
      <c r="M6" s="68"/>
      <c r="N6" s="68"/>
      <c r="O6" s="69">
        <f t="shared" si="0"/>
        <v>0</v>
      </c>
      <c r="P6" s="68">
        <f t="shared" ref="P6:P14" si="4">G6/F6</f>
        <v>192.592592592593</v>
      </c>
      <c r="Q6" s="68">
        <f t="shared" ref="Q6:Q14" si="5">H6/F6</f>
        <v>48.1481481481481</v>
      </c>
      <c r="R6" s="70">
        <f>VLOOKUP(B6,考勤!B:AI,34,0)</f>
        <v>27</v>
      </c>
      <c r="S6" s="65">
        <f t="shared" si="1"/>
        <v>6500.00000000001</v>
      </c>
      <c r="T6" s="68">
        <v>400</v>
      </c>
      <c r="U6" s="68">
        <v>20</v>
      </c>
      <c r="V6" s="68">
        <v>100</v>
      </c>
      <c r="W6" s="68"/>
      <c r="X6" s="68"/>
      <c r="Y6" s="71"/>
      <c r="Z6" s="69">
        <f t="shared" si="2"/>
        <v>520</v>
      </c>
      <c r="AA6" s="65">
        <f t="shared" si="3"/>
        <v>5980.00000000001</v>
      </c>
      <c r="AB6" s="67"/>
    </row>
    <row r="7" s="59" customFormat="1" ht="171" customHeight="1" spans="1:28">
      <c r="A7" s="67">
        <v>3</v>
      </c>
      <c r="B7" s="67" t="s">
        <v>52</v>
      </c>
      <c r="C7" s="67" t="s">
        <v>53</v>
      </c>
      <c r="D7" s="67" t="s">
        <v>51</v>
      </c>
      <c r="E7" s="68">
        <v>3500</v>
      </c>
      <c r="F7" s="67">
        <v>10</v>
      </c>
      <c r="G7" s="68">
        <f>E7*VLOOKUP(D7,职务序列取数!B:E,2,0)</f>
        <v>2800</v>
      </c>
      <c r="H7" s="68">
        <f>E7*VLOOKUP(D7,职务序列取数!B:E,3,0)</f>
        <v>700</v>
      </c>
      <c r="I7" s="68">
        <f>E7*VLOOKUP(D7,职务序列取数!B:E,4,0)</f>
        <v>0</v>
      </c>
      <c r="J7" s="68"/>
      <c r="K7" s="68"/>
      <c r="L7" s="68"/>
      <c r="M7" s="68"/>
      <c r="N7" s="68">
        <f>277.86+180</f>
        <v>457.86</v>
      </c>
      <c r="O7" s="69">
        <f t="shared" si="0"/>
        <v>457.86</v>
      </c>
      <c r="P7" s="68">
        <f t="shared" si="4"/>
        <v>280</v>
      </c>
      <c r="Q7" s="68">
        <f t="shared" si="5"/>
        <v>70</v>
      </c>
      <c r="R7" s="70">
        <f>VLOOKUP(B7,考勤!B:AI,34,0)</f>
        <v>10</v>
      </c>
      <c r="S7" s="65">
        <f t="shared" si="1"/>
        <v>3957.86</v>
      </c>
      <c r="T7" s="68"/>
      <c r="U7" s="68"/>
      <c r="V7" s="68"/>
      <c r="W7" s="68"/>
      <c r="X7" s="68"/>
      <c r="Y7" s="71"/>
      <c r="Z7" s="69">
        <f t="shared" si="2"/>
        <v>0</v>
      </c>
      <c r="AA7" s="65">
        <f t="shared" si="3"/>
        <v>3957.86</v>
      </c>
      <c r="AB7" s="67" t="s">
        <v>54</v>
      </c>
    </row>
    <row r="8" s="59" customFormat="1" ht="171" customHeight="1" spans="1:28">
      <c r="A8" s="67">
        <v>4</v>
      </c>
      <c r="B8" s="67" t="s">
        <v>55</v>
      </c>
      <c r="C8" s="67" t="s">
        <v>53</v>
      </c>
      <c r="D8" s="67" t="s">
        <v>51</v>
      </c>
      <c r="E8" s="68">
        <v>4200</v>
      </c>
      <c r="F8" s="67">
        <v>11</v>
      </c>
      <c r="G8" s="68">
        <f>E8*VLOOKUP(D8,职务序列取数!B:E,2,0)</f>
        <v>3360</v>
      </c>
      <c r="H8" s="68">
        <f>E8*VLOOKUP(D8,职务序列取数!B:E,3,0)</f>
        <v>840</v>
      </c>
      <c r="I8" s="68">
        <f>E8*VLOOKUP(D8,职务序列取数!B:E,4,0)</f>
        <v>0</v>
      </c>
      <c r="J8" s="68"/>
      <c r="K8" s="68"/>
      <c r="L8" s="68"/>
      <c r="M8" s="72"/>
      <c r="N8" s="68">
        <f>373.5+130</f>
        <v>503.5</v>
      </c>
      <c r="O8" s="69">
        <f t="shared" si="0"/>
        <v>503.5</v>
      </c>
      <c r="P8" s="68">
        <f t="shared" si="4"/>
        <v>305.454545454545</v>
      </c>
      <c r="Q8" s="68">
        <f t="shared" si="5"/>
        <v>76.3636363636364</v>
      </c>
      <c r="R8" s="70">
        <f>VLOOKUP(B8,考勤!B:AI,34,0)</f>
        <v>11</v>
      </c>
      <c r="S8" s="65">
        <f t="shared" si="1"/>
        <v>4703.5</v>
      </c>
      <c r="T8" s="68">
        <v>400</v>
      </c>
      <c r="U8" s="68">
        <v>20</v>
      </c>
      <c r="V8" s="68">
        <v>100</v>
      </c>
      <c r="W8" s="68"/>
      <c r="X8" s="68"/>
      <c r="Y8" s="71"/>
      <c r="Z8" s="69">
        <f t="shared" si="2"/>
        <v>520</v>
      </c>
      <c r="AA8" s="65">
        <f t="shared" si="3"/>
        <v>4183.5</v>
      </c>
      <c r="AB8" s="67" t="s">
        <v>54</v>
      </c>
    </row>
    <row r="9" s="59" customFormat="1" ht="171" customHeight="1" spans="1:28">
      <c r="A9" s="67">
        <v>5</v>
      </c>
      <c r="B9" s="67" t="s">
        <v>56</v>
      </c>
      <c r="C9" s="67" t="s">
        <v>53</v>
      </c>
      <c r="D9" s="67" t="s">
        <v>51</v>
      </c>
      <c r="E9" s="68">
        <v>3500</v>
      </c>
      <c r="F9" s="67">
        <v>10</v>
      </c>
      <c r="G9" s="68">
        <f>E9*VLOOKUP(D9,职务序列取数!B:E,2,0)</f>
        <v>2800</v>
      </c>
      <c r="H9" s="68">
        <f>E9*VLOOKUP(D9,职务序列取数!B:E,3,0)</f>
        <v>700</v>
      </c>
      <c r="I9" s="68"/>
      <c r="J9" s="68"/>
      <c r="K9" s="68"/>
      <c r="L9" s="68"/>
      <c r="M9" s="68"/>
      <c r="N9" s="68">
        <f>163.17+70</f>
        <v>233.17</v>
      </c>
      <c r="O9" s="69">
        <f t="shared" si="0"/>
        <v>233.17</v>
      </c>
      <c r="P9" s="68">
        <f t="shared" si="4"/>
        <v>280</v>
      </c>
      <c r="Q9" s="68">
        <f t="shared" si="5"/>
        <v>70</v>
      </c>
      <c r="R9" s="70">
        <f>VLOOKUP(B9,考勤!B:AI,34,0)</f>
        <v>7</v>
      </c>
      <c r="S9" s="65">
        <f t="shared" si="1"/>
        <v>2683.17</v>
      </c>
      <c r="T9" s="68">
        <v>400</v>
      </c>
      <c r="U9" s="68">
        <v>20</v>
      </c>
      <c r="V9" s="68">
        <v>100</v>
      </c>
      <c r="W9" s="68"/>
      <c r="X9" s="68"/>
      <c r="Y9" s="71"/>
      <c r="Z9" s="69">
        <f t="shared" si="2"/>
        <v>520</v>
      </c>
      <c r="AA9" s="65">
        <f t="shared" si="3"/>
        <v>2163.17</v>
      </c>
      <c r="AB9" s="67" t="s">
        <v>54</v>
      </c>
    </row>
    <row r="10" s="59" customFormat="1" ht="171" customHeight="1" spans="1:28">
      <c r="A10" s="67">
        <v>6</v>
      </c>
      <c r="B10" s="67" t="s">
        <v>57</v>
      </c>
      <c r="C10" s="67" t="s">
        <v>58</v>
      </c>
      <c r="D10" s="67" t="s">
        <v>51</v>
      </c>
      <c r="E10" s="68">
        <v>5000</v>
      </c>
      <c r="F10" s="67">
        <v>27</v>
      </c>
      <c r="G10" s="68">
        <f>E10*VLOOKUP(D10,职务序列取数!B:E,2,0)</f>
        <v>4000</v>
      </c>
      <c r="H10" s="68">
        <f>E10*VLOOKUP(D10,职务序列取数!B:E,3,0)</f>
        <v>1000</v>
      </c>
      <c r="I10" s="68">
        <f>E10*VLOOKUP(D10,职务序列取数!B:E,4,0)</f>
        <v>0</v>
      </c>
      <c r="J10" s="68"/>
      <c r="K10" s="68"/>
      <c r="L10" s="68"/>
      <c r="M10" s="68"/>
      <c r="N10" s="68"/>
      <c r="O10" s="69">
        <f t="shared" si="0"/>
        <v>0</v>
      </c>
      <c r="P10" s="68">
        <f t="shared" si="4"/>
        <v>148.148148148148</v>
      </c>
      <c r="Q10" s="68">
        <f t="shared" si="5"/>
        <v>37.037037037037</v>
      </c>
      <c r="R10" s="70">
        <f>VLOOKUP(B10,考勤!B:AI,34,0)</f>
        <v>27</v>
      </c>
      <c r="S10" s="65">
        <f t="shared" ref="S10:S15" si="6">(P10*R10)+(Q10*R10)+O10</f>
        <v>5000</v>
      </c>
      <c r="T10" s="68">
        <v>400</v>
      </c>
      <c r="U10" s="68">
        <v>20</v>
      </c>
      <c r="V10" s="68">
        <v>100</v>
      </c>
      <c r="W10" s="68"/>
      <c r="X10" s="68"/>
      <c r="Y10" s="71"/>
      <c r="Z10" s="69">
        <f t="shared" si="2"/>
        <v>520</v>
      </c>
      <c r="AA10" s="65">
        <f t="shared" si="3"/>
        <v>4480</v>
      </c>
      <c r="AB10" s="67"/>
    </row>
    <row r="11" s="59" customFormat="1" ht="171" customHeight="1" spans="1:28">
      <c r="A11" s="67">
        <v>7</v>
      </c>
      <c r="B11" s="73" t="s">
        <v>59</v>
      </c>
      <c r="C11" s="67" t="s">
        <v>53</v>
      </c>
      <c r="D11" s="67" t="s">
        <v>51</v>
      </c>
      <c r="E11" s="68">
        <v>3500</v>
      </c>
      <c r="F11" s="67">
        <v>10</v>
      </c>
      <c r="G11" s="68">
        <f>E11*VLOOKUP(D11,职务序列取数!B:E,2,0)</f>
        <v>2800</v>
      </c>
      <c r="H11" s="68">
        <f>E11*VLOOKUP(D11,职务序列取数!B:E,3,0)</f>
        <v>700</v>
      </c>
      <c r="I11" s="68"/>
      <c r="J11" s="68"/>
      <c r="K11" s="68"/>
      <c r="L11" s="68"/>
      <c r="M11" s="68"/>
      <c r="N11" s="68">
        <v>120.12</v>
      </c>
      <c r="O11" s="69">
        <f t="shared" si="0"/>
        <v>120.12</v>
      </c>
      <c r="P11" s="68">
        <f t="shared" si="4"/>
        <v>280</v>
      </c>
      <c r="Q11" s="68">
        <f t="shared" si="5"/>
        <v>70</v>
      </c>
      <c r="R11" s="70">
        <f>VLOOKUP(B11,考勤!B:AI,34,0)</f>
        <v>4</v>
      </c>
      <c r="S11" s="65">
        <f t="shared" si="6"/>
        <v>1520.12</v>
      </c>
      <c r="T11" s="68"/>
      <c r="U11" s="68"/>
      <c r="V11" s="68"/>
      <c r="W11" s="68"/>
      <c r="X11" s="68"/>
      <c r="Y11" s="71"/>
      <c r="Z11" s="69">
        <f t="shared" si="2"/>
        <v>0</v>
      </c>
      <c r="AA11" s="65">
        <f t="shared" si="3"/>
        <v>1520.12</v>
      </c>
      <c r="AB11" s="74"/>
    </row>
    <row r="12" s="59" customFormat="1" ht="171" customHeight="1" spans="1:28">
      <c r="A12" s="67">
        <v>8</v>
      </c>
      <c r="B12" s="73" t="s">
        <v>60</v>
      </c>
      <c r="C12" s="67" t="s">
        <v>61</v>
      </c>
      <c r="D12" s="67" t="s">
        <v>51</v>
      </c>
      <c r="E12" s="68">
        <v>3200</v>
      </c>
      <c r="F12" s="67">
        <v>27</v>
      </c>
      <c r="G12" s="68">
        <f>E12*VLOOKUP(D12,职务序列取数!B:E,2,0)</f>
        <v>2560</v>
      </c>
      <c r="H12" s="68">
        <f>E12*VLOOKUP(D12,职务序列取数!B:E,3,0)</f>
        <v>640</v>
      </c>
      <c r="I12" s="68"/>
      <c r="J12" s="68"/>
      <c r="K12" s="68"/>
      <c r="L12" s="68"/>
      <c r="M12" s="68"/>
      <c r="N12" s="68">
        <v>1064</v>
      </c>
      <c r="O12" s="69">
        <f t="shared" si="0"/>
        <v>1064</v>
      </c>
      <c r="P12" s="68">
        <f t="shared" si="4"/>
        <v>94.8148148148148</v>
      </c>
      <c r="Q12" s="68">
        <f t="shared" si="5"/>
        <v>23.7037037037037</v>
      </c>
      <c r="R12" s="70">
        <f>VLOOKUP(B12,考勤!B:AI,34,0)</f>
        <v>27</v>
      </c>
      <c r="S12" s="65">
        <f t="shared" si="6"/>
        <v>4264</v>
      </c>
      <c r="T12" s="68">
        <v>400</v>
      </c>
      <c r="U12" s="68">
        <v>20</v>
      </c>
      <c r="V12" s="68">
        <v>100</v>
      </c>
      <c r="W12" s="68"/>
      <c r="X12" s="68"/>
      <c r="Y12" s="71"/>
      <c r="Z12" s="69">
        <f t="shared" si="2"/>
        <v>520</v>
      </c>
      <c r="AA12" s="65">
        <f t="shared" si="3"/>
        <v>3744</v>
      </c>
      <c r="AB12" s="67" t="s">
        <v>62</v>
      </c>
    </row>
    <row r="13" s="59" customFormat="1" ht="171" customHeight="1" spans="1:28">
      <c r="A13" s="67">
        <v>9</v>
      </c>
      <c r="B13" s="73" t="s">
        <v>63</v>
      </c>
      <c r="C13" s="67" t="s">
        <v>64</v>
      </c>
      <c r="D13" s="67" t="s">
        <v>51</v>
      </c>
      <c r="E13" s="68">
        <v>4500</v>
      </c>
      <c r="F13" s="67">
        <v>27</v>
      </c>
      <c r="G13" s="68">
        <f>E13*VLOOKUP(D13,职务序列取数!B:E,2,0)</f>
        <v>3600</v>
      </c>
      <c r="H13" s="68">
        <f>E13*VLOOKUP(D13,职务序列取数!B:E,3,0)</f>
        <v>900</v>
      </c>
      <c r="I13" s="68"/>
      <c r="J13" s="68"/>
      <c r="K13" s="68"/>
      <c r="L13" s="68"/>
      <c r="M13" s="68"/>
      <c r="N13" s="68"/>
      <c r="O13" s="69"/>
      <c r="P13" s="68">
        <f t="shared" si="4"/>
        <v>133.333333333333</v>
      </c>
      <c r="Q13" s="68">
        <f t="shared" si="5"/>
        <v>33.3333333333333</v>
      </c>
      <c r="R13" s="70">
        <f>VLOOKUP(B13,考勤!B:AI,34,0)</f>
        <v>27</v>
      </c>
      <c r="S13" s="65">
        <f t="shared" si="6"/>
        <v>4500</v>
      </c>
      <c r="T13" s="68"/>
      <c r="U13" s="68"/>
      <c r="V13" s="68"/>
      <c r="W13" s="68"/>
      <c r="X13" s="68"/>
      <c r="Y13" s="71"/>
      <c r="Z13" s="69"/>
      <c r="AA13" s="65">
        <f t="shared" si="3"/>
        <v>4500</v>
      </c>
      <c r="AB13" s="67"/>
    </row>
    <row r="14" s="59" customFormat="1" ht="171" customHeight="1" spans="1:28">
      <c r="A14" s="67">
        <v>10</v>
      </c>
      <c r="B14" s="67" t="s">
        <v>65</v>
      </c>
      <c r="C14" s="67" t="s">
        <v>66</v>
      </c>
      <c r="D14" s="67" t="s">
        <v>51</v>
      </c>
      <c r="E14" s="68">
        <v>3000</v>
      </c>
      <c r="F14" s="67">
        <v>27</v>
      </c>
      <c r="G14" s="68">
        <f>E14*VLOOKUP(D14,职务序列取数!B:E,2,0)</f>
        <v>2400</v>
      </c>
      <c r="H14" s="68">
        <f>E14*VLOOKUP(D14,职务序列取数!B:E,3,0)</f>
        <v>600</v>
      </c>
      <c r="I14" s="68">
        <f>E14*VLOOKUP(D14,职务序列取数!B:E,4,0)</f>
        <v>0</v>
      </c>
      <c r="J14" s="68"/>
      <c r="K14" s="68"/>
      <c r="L14" s="68"/>
      <c r="M14" s="72"/>
      <c r="N14" s="72">
        <v>552</v>
      </c>
      <c r="O14" s="69">
        <f>SUM(J14:N14)</f>
        <v>552</v>
      </c>
      <c r="P14" s="68">
        <f t="shared" si="4"/>
        <v>88.8888888888889</v>
      </c>
      <c r="Q14" s="68">
        <f t="shared" si="5"/>
        <v>22.2222222222222</v>
      </c>
      <c r="R14" s="70">
        <f>VLOOKUP(B14,考勤!B:AI,34,0)</f>
        <v>27</v>
      </c>
      <c r="S14" s="65">
        <f t="shared" si="6"/>
        <v>3552</v>
      </c>
      <c r="T14" s="68"/>
      <c r="U14" s="68"/>
      <c r="V14" s="68"/>
      <c r="W14" s="68"/>
      <c r="X14" s="68"/>
      <c r="Y14" s="71"/>
      <c r="Z14" s="69">
        <f>SUM(T14:Y14)</f>
        <v>0</v>
      </c>
      <c r="AA14" s="65">
        <f t="shared" si="3"/>
        <v>3552</v>
      </c>
      <c r="AB14" s="67" t="s">
        <v>62</v>
      </c>
    </row>
    <row r="15" s="59" customFormat="1" ht="171" customHeight="1" spans="1:28">
      <c r="A15" s="67">
        <v>11</v>
      </c>
      <c r="B15" s="73" t="s">
        <v>67</v>
      </c>
      <c r="C15" s="67" t="s">
        <v>68</v>
      </c>
      <c r="D15" s="67" t="s">
        <v>51</v>
      </c>
      <c r="E15" s="68"/>
      <c r="F15" s="67">
        <v>31</v>
      </c>
      <c r="G15" s="68"/>
      <c r="H15" s="68"/>
      <c r="I15" s="68"/>
      <c r="J15" s="68"/>
      <c r="K15" s="68"/>
      <c r="L15" s="68"/>
      <c r="M15" s="68">
        <f>3000</f>
        <v>3000</v>
      </c>
      <c r="N15" s="68"/>
      <c r="O15" s="69">
        <f>SUM(J15:N15)</f>
        <v>3000</v>
      </c>
      <c r="P15" s="68"/>
      <c r="Q15" s="68"/>
      <c r="R15" s="70">
        <f>VLOOKUP(B15,考勤!B:AI,34,0)</f>
        <v>31</v>
      </c>
      <c r="S15" s="65">
        <f t="shared" si="6"/>
        <v>3000</v>
      </c>
      <c r="T15" s="68"/>
      <c r="U15" s="68"/>
      <c r="V15" s="68"/>
      <c r="W15" s="68"/>
      <c r="X15" s="68"/>
      <c r="Y15" s="71"/>
      <c r="Z15" s="69">
        <f>SUM(T15:Y15)</f>
        <v>0</v>
      </c>
      <c r="AA15" s="65">
        <f t="shared" si="3"/>
        <v>3000</v>
      </c>
      <c r="AB15" s="67"/>
    </row>
    <row r="16" s="58" customFormat="1" ht="171" customHeight="1" spans="1:28">
      <c r="A16" s="64"/>
      <c r="B16" s="75" t="s">
        <v>69</v>
      </c>
      <c r="C16" s="76"/>
      <c r="D16" s="64"/>
      <c r="E16" s="65">
        <f>SUM(E5:E15)</f>
        <v>36900</v>
      </c>
      <c r="F16" s="65"/>
      <c r="G16" s="65">
        <f t="shared" ref="G16:Q16" si="7">SUM(G5:G15)</f>
        <v>29520</v>
      </c>
      <c r="H16" s="65">
        <f t="shared" si="7"/>
        <v>7380</v>
      </c>
      <c r="I16" s="65">
        <f t="shared" si="7"/>
        <v>0</v>
      </c>
      <c r="J16" s="65">
        <f t="shared" si="7"/>
        <v>0</v>
      </c>
      <c r="K16" s="65">
        <f t="shared" si="7"/>
        <v>0</v>
      </c>
      <c r="L16" s="65">
        <f t="shared" si="7"/>
        <v>0</v>
      </c>
      <c r="M16" s="65">
        <f t="shared" si="7"/>
        <v>13000</v>
      </c>
      <c r="N16" s="65">
        <f t="shared" si="7"/>
        <v>2930.65</v>
      </c>
      <c r="O16" s="65">
        <f t="shared" si="7"/>
        <v>15930.65</v>
      </c>
      <c r="P16" s="65">
        <f t="shared" si="7"/>
        <v>1803.23232323232</v>
      </c>
      <c r="Q16" s="65">
        <f t="shared" si="7"/>
        <v>450.808080808081</v>
      </c>
      <c r="R16" s="65"/>
      <c r="S16" s="65">
        <f>SUM(S5:S15)</f>
        <v>49680.65</v>
      </c>
      <c r="T16" s="65">
        <f>SUM(T5:T15)</f>
        <v>2400</v>
      </c>
      <c r="U16" s="65">
        <f t="shared" ref="S16:AA16" si="8">SUM(U5:U15)</f>
        <v>120</v>
      </c>
      <c r="V16" s="65">
        <f t="shared" si="8"/>
        <v>600</v>
      </c>
      <c r="W16" s="65">
        <f t="shared" si="8"/>
        <v>0</v>
      </c>
      <c r="X16" s="65">
        <f t="shared" si="8"/>
        <v>0</v>
      </c>
      <c r="Y16" s="65">
        <f t="shared" si="8"/>
        <v>0</v>
      </c>
      <c r="Z16" s="65">
        <f t="shared" si="8"/>
        <v>3120</v>
      </c>
      <c r="AA16" s="65">
        <f t="shared" si="8"/>
        <v>46560.65</v>
      </c>
      <c r="AB16" s="64"/>
    </row>
    <row r="17" s="58" customFormat="1" ht="200" customHeight="1" spans="1:28">
      <c r="A17" s="58" t="s">
        <v>70</v>
      </c>
      <c r="B17" s="77" t="s">
        <v>71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="57" customFormat="1" ht="200" customHeight="1" spans="1:28">
      <c r="B18" s="57" t="s">
        <v>72</v>
      </c>
      <c r="K18" s="57" t="s">
        <v>73</v>
      </c>
      <c r="S18" s="57" t="s">
        <v>74</v>
      </c>
      <c r="T18" s="57"/>
      <c r="U18" s="57"/>
      <c r="V18" s="57"/>
      <c r="W18" s="63"/>
      <c r="X18" s="63"/>
      <c r="AA18" s="57" t="s">
        <v>75</v>
      </c>
    </row>
    <row r="19" customHeight="1" spans="1:28">
      <c r="S19" s="1"/>
      <c r="W19" s="60"/>
      <c r="X19" s="60"/>
      <c r="AA19" s="1"/>
    </row>
    <row r="32" ht="36" customHeight="1"/>
  </sheetData>
  <mergeCells count="10">
    <mergeCell ref="A1:AB1"/>
    <mergeCell ref="B3:I3"/>
    <mergeCell ref="J3:O3"/>
    <mergeCell ref="P3:S3"/>
    <mergeCell ref="T3:Z3"/>
    <mergeCell ref="B16:C16"/>
    <mergeCell ref="B17:AB17"/>
    <mergeCell ref="A3:A4"/>
    <mergeCell ref="AA3:AA4"/>
    <mergeCell ref="AB3:AB4"/>
  </mergeCells>
  <pageMargins left="0.275" right="0.118055555555556" top="0.75" bottom="0.75" header="0.3" footer="0.3"/>
  <pageSetup paperSize="9" scale="1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9"/>
  <sheetViews>
    <sheetView showZeros="0" view="pageBreakPreview" zoomScaleNormal="115" workbookViewId="0">
      <pane xSplit="3" ySplit="5" topLeftCell="D6" activePane="bottomRight" state="frozen"/>
      <selection/>
      <selection pane="topRight"/>
      <selection pane="bottomLeft"/>
      <selection pane="bottomRight" activeCell="AK12" sqref="AK12"/>
    </sheetView>
  </sheetViews>
  <sheetFormatPr defaultColWidth="2.86666666666667" defaultRowHeight="15" customHeight="1"/>
  <cols>
    <col min="1" max="1" width="4.8" style="12" customWidth="1"/>
    <col min="2" max="2" width="7" style="12" customWidth="1"/>
    <col min="3" max="3" width="15.6666666666667" style="12" customWidth="1"/>
    <col min="4" max="5" width="4.13333333333333" style="13" customWidth="1"/>
    <col min="6" max="10" width="4.13333333333333" style="12" customWidth="1"/>
    <col min="11" max="14" width="4.13333333333333" style="13" customWidth="1"/>
    <col min="15" max="17" width="4.13333333333333" style="12" customWidth="1"/>
    <col min="18" max="19" width="4.13333333333333" style="13" customWidth="1"/>
    <col min="20" max="24" width="4.13333333333333" style="12" customWidth="1"/>
    <col min="25" max="26" width="4.13333333333333" style="13" customWidth="1"/>
    <col min="27" max="31" width="4.13333333333333" style="12" customWidth="1"/>
    <col min="32" max="33" width="4.13333333333333" style="13" customWidth="1"/>
    <col min="34" max="34" width="4.13333333333333" style="12" customWidth="1"/>
    <col min="35" max="35" width="4.26666666666667" style="12" customWidth="1"/>
    <col min="36" max="36" width="2.86666666666667" style="12" customWidth="1"/>
    <col min="37" max="39" width="3.2" style="12"/>
    <col min="40" max="44" width="3" style="12" customWidth="1"/>
    <col min="45" max="47" width="3.13333333333333" style="12" customWidth="1"/>
    <col min="48" max="48" width="3.2" style="12" customWidth="1"/>
    <col min="49" max="51" width="3.13333333333333" style="12" customWidth="1"/>
    <col min="52" max="52" width="8.6" style="12" customWidth="1"/>
    <col min="53" max="255" width="2.86666666666667" style="12"/>
    <col min="256" max="16384" width="2.86666666666667" style="14"/>
  </cols>
  <sheetData>
    <row r="1" ht="34.5" customHeight="1" spans="1:255">
      <c r="A1" s="15" t="str">
        <f>[1]封面!A10</f>
        <v>2025年</v>
      </c>
      <c r="B1" s="16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>
        <v>12</v>
      </c>
      <c r="W1" s="16"/>
      <c r="X1" s="17" t="s">
        <v>76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customHeight="1" spans="1:255">
      <c r="A2" s="18"/>
      <c r="B2" s="19" t="s">
        <v>77</v>
      </c>
      <c r="C2" s="18" t="str">
        <f>工资汇总表!A4</f>
        <v>画堂春酒店</v>
      </c>
      <c r="D2" s="18"/>
      <c r="E2" s="18"/>
      <c r="F2" s="18"/>
      <c r="G2" s="18"/>
      <c r="H2" s="18"/>
      <c r="I2" s="18"/>
      <c r="J2" s="20"/>
      <c r="K2" s="21"/>
      <c r="L2" s="21"/>
      <c r="M2" s="21"/>
      <c r="N2" s="21"/>
      <c r="O2" s="20"/>
      <c r="P2" s="20"/>
      <c r="Q2" s="20"/>
      <c r="R2" s="21"/>
      <c r="S2" s="21"/>
      <c r="T2" s="20"/>
      <c r="U2" s="20"/>
      <c r="V2" s="20"/>
      <c r="W2" s="20"/>
      <c r="X2" s="20"/>
      <c r="Y2" s="21"/>
      <c r="Z2" s="21"/>
      <c r="AA2" s="20"/>
      <c r="AB2" s="20"/>
      <c r="AC2" s="20"/>
      <c r="AD2" s="20"/>
      <c r="AE2" s="20"/>
      <c r="AF2" s="21"/>
      <c r="AG2" s="21"/>
      <c r="AH2" s="20"/>
      <c r="AI2" s="20"/>
      <c r="AJ2" s="22"/>
      <c r="AK2" s="23">
        <v>46023</v>
      </c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="11" customFormat="1" ht="30" customHeight="1" spans="1:255">
      <c r="A3" s="24" t="s">
        <v>31</v>
      </c>
      <c r="B3" s="24" t="s">
        <v>32</v>
      </c>
      <c r="C3" s="24" t="s">
        <v>78</v>
      </c>
      <c r="D3" s="25" t="s">
        <v>79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7"/>
      <c r="AI3" s="24" t="s">
        <v>21</v>
      </c>
      <c r="AJ3" s="24" t="s">
        <v>80</v>
      </c>
      <c r="AK3" s="28" t="s">
        <v>81</v>
      </c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4" t="s">
        <v>82</v>
      </c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</row>
    <row r="4" s="11" customFormat="1" ht="20.1" customHeight="1" spans="1:255">
      <c r="A4" s="31"/>
      <c r="B4" s="31"/>
      <c r="C4" s="31"/>
      <c r="D4" s="32">
        <f>V1</f>
        <v>12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 t="s">
        <v>83</v>
      </c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31"/>
      <c r="AJ4" s="31"/>
      <c r="AK4" s="36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1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</row>
    <row r="5" s="11" customFormat="1" ht="78" customHeight="1" spans="1:255">
      <c r="A5" s="38"/>
      <c r="B5" s="38"/>
      <c r="C5" s="38"/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>
        <v>11</v>
      </c>
      <c r="O5" s="39">
        <v>12</v>
      </c>
      <c r="P5" s="39">
        <v>13</v>
      </c>
      <c r="Q5" s="39">
        <v>14</v>
      </c>
      <c r="R5" s="39">
        <v>15</v>
      </c>
      <c r="S5" s="39">
        <v>16</v>
      </c>
      <c r="T5" s="39">
        <v>17</v>
      </c>
      <c r="U5" s="39">
        <v>18</v>
      </c>
      <c r="V5" s="39">
        <v>19</v>
      </c>
      <c r="W5" s="39">
        <v>20</v>
      </c>
      <c r="X5" s="39">
        <v>21</v>
      </c>
      <c r="Y5" s="39">
        <v>22</v>
      </c>
      <c r="Z5" s="39">
        <v>23</v>
      </c>
      <c r="AA5" s="39">
        <v>24</v>
      </c>
      <c r="AB5" s="39">
        <v>25</v>
      </c>
      <c r="AC5" s="39">
        <v>26</v>
      </c>
      <c r="AD5" s="39">
        <v>27</v>
      </c>
      <c r="AE5" s="39">
        <v>28</v>
      </c>
      <c r="AF5" s="39">
        <v>29</v>
      </c>
      <c r="AG5" s="39">
        <v>30</v>
      </c>
      <c r="AH5" s="39">
        <v>31</v>
      </c>
      <c r="AI5" s="38"/>
      <c r="AJ5" s="38"/>
      <c r="AK5" s="79" t="s">
        <v>84</v>
      </c>
      <c r="AL5" s="40" t="s">
        <v>85</v>
      </c>
      <c r="AM5" s="40" t="s">
        <v>86</v>
      </c>
      <c r="AN5" s="40" t="s">
        <v>87</v>
      </c>
      <c r="AO5" s="40" t="s">
        <v>88</v>
      </c>
      <c r="AP5" s="40" t="s">
        <v>89</v>
      </c>
      <c r="AQ5" s="40" t="s">
        <v>90</v>
      </c>
      <c r="AR5" s="40" t="s">
        <v>91</v>
      </c>
      <c r="AS5" s="41" t="s">
        <v>92</v>
      </c>
      <c r="AT5" s="41" t="s">
        <v>93</v>
      </c>
      <c r="AU5" s="41" t="s">
        <v>94</v>
      </c>
      <c r="AV5" s="41" t="s">
        <v>95</v>
      </c>
      <c r="AW5" s="41" t="s">
        <v>96</v>
      </c>
      <c r="AX5" s="41" t="s">
        <v>97</v>
      </c>
      <c r="AY5" s="41" t="s">
        <v>98</v>
      </c>
      <c r="AZ5" s="38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</row>
    <row r="6" s="12" customFormat="1" ht="32" customHeight="1" spans="1:255">
      <c r="A6" s="42">
        <v>1</v>
      </c>
      <c r="B6" s="43" t="str">
        <f>工资表!B5</f>
        <v>杨鸿鑫</v>
      </c>
      <c r="C6" s="44" t="str">
        <f>工资表!C5</f>
        <v>酒店业主代表</v>
      </c>
      <c r="D6" s="45" t="s">
        <v>99</v>
      </c>
      <c r="E6" s="45" t="s">
        <v>99</v>
      </c>
      <c r="F6" s="45" t="s">
        <v>99</v>
      </c>
      <c r="G6" s="45" t="s">
        <v>99</v>
      </c>
      <c r="H6" s="45" t="s">
        <v>99</v>
      </c>
      <c r="I6" s="45" t="s">
        <v>99</v>
      </c>
      <c r="J6" s="45" t="s">
        <v>99</v>
      </c>
      <c r="K6" s="45" t="s">
        <v>99</v>
      </c>
      <c r="L6" s="45" t="s">
        <v>99</v>
      </c>
      <c r="M6" s="45" t="s">
        <v>99</v>
      </c>
      <c r="N6" s="45" t="s">
        <v>99</v>
      </c>
      <c r="O6" s="45" t="s">
        <v>99</v>
      </c>
      <c r="P6" s="45" t="s">
        <v>99</v>
      </c>
      <c r="Q6" s="45" t="s">
        <v>99</v>
      </c>
      <c r="R6" s="45" t="s">
        <v>99</v>
      </c>
      <c r="S6" s="45" t="s">
        <v>99</v>
      </c>
      <c r="T6" s="45" t="s">
        <v>99</v>
      </c>
      <c r="U6" s="45" t="s">
        <v>99</v>
      </c>
      <c r="V6" s="45" t="s">
        <v>99</v>
      </c>
      <c r="W6" s="45" t="s">
        <v>99</v>
      </c>
      <c r="X6" s="45" t="s">
        <v>99</v>
      </c>
      <c r="Y6" s="45" t="s">
        <v>99</v>
      </c>
      <c r="Z6" s="45" t="s">
        <v>99</v>
      </c>
      <c r="AA6" s="45" t="s">
        <v>99</v>
      </c>
      <c r="AB6" s="45" t="s">
        <v>99</v>
      </c>
      <c r="AC6" s="45" t="s">
        <v>99</v>
      </c>
      <c r="AD6" s="45" t="s">
        <v>99</v>
      </c>
      <c r="AE6" s="45" t="s">
        <v>99</v>
      </c>
      <c r="AF6" s="45" t="s">
        <v>99</v>
      </c>
      <c r="AG6" s="45" t="s">
        <v>99</v>
      </c>
      <c r="AH6" s="45" t="s">
        <v>99</v>
      </c>
      <c r="AI6" s="46">
        <f t="shared" ref="AI6:AI16" si="0">AK6+AL6+AR6</f>
        <v>31</v>
      </c>
      <c r="AJ6" s="46">
        <f t="shared" ref="AJ6:AJ13" si="1">AM6</f>
        <v>0</v>
      </c>
      <c r="AK6" s="47">
        <f t="shared" ref="AK6:AK16" si="2">COUNTIF($D6:$AH6,"√")</f>
        <v>31</v>
      </c>
      <c r="AL6" s="47">
        <f>COUNTIF($D6:$AH6,"出差")</f>
        <v>0</v>
      </c>
      <c r="AM6" s="47">
        <f t="shared" ref="AM6:AM16" si="3">COUNTIF($D6:$AH6,"公休")</f>
        <v>0</v>
      </c>
      <c r="AN6" s="47">
        <f t="shared" ref="AN6:AN13" si="4">COUNTIF($D6:$AH6,"病假")</f>
        <v>0</v>
      </c>
      <c r="AO6" s="47">
        <f t="shared" ref="AO6:AO13" si="5">COUNTIF($D6:$AH6,"事假")</f>
        <v>0</v>
      </c>
      <c r="AP6" s="47">
        <f t="shared" ref="AP6:AP13" si="6">COUNTIF($D6:$AH6,"旷工")</f>
        <v>0</v>
      </c>
      <c r="AQ6" s="47">
        <f t="shared" ref="AQ6:AQ13" si="7">COUNTIF($D6:$AH6,"工伤")</f>
        <v>0</v>
      </c>
      <c r="AR6" s="47">
        <f>COUNTIF($D6:$AH6,"培训")</f>
        <v>0</v>
      </c>
      <c r="AS6" s="47">
        <f>COUNTIF($D6:$AH6,"冬休")</f>
        <v>0</v>
      </c>
      <c r="AT6" s="47">
        <f>COUNTIF($D6:$AH6,"休假")</f>
        <v>0</v>
      </c>
      <c r="AU6" s="47">
        <f>COUNTIF($D6:$AH6,"探亲")</f>
        <v>0</v>
      </c>
      <c r="AV6" s="47">
        <f>COUNTIF($D6:$AH6,"产假")</f>
        <v>0</v>
      </c>
      <c r="AW6" s="47">
        <f>COUNTIF($D6:$AH6,"陪护假")</f>
        <v>0</v>
      </c>
      <c r="AX6" s="47">
        <f>COUNTIF($D6:$AH6,"婚丧假")</f>
        <v>0</v>
      </c>
      <c r="AY6" s="47">
        <f>COUNTIF($D6:$AH6,"待岗")</f>
        <v>0</v>
      </c>
      <c r="AZ6" s="48"/>
    </row>
    <row r="7" s="12" customFormat="1" ht="32" customHeight="1" spans="1:255">
      <c r="A7" s="42">
        <v>2</v>
      </c>
      <c r="B7" s="43" t="str">
        <f>工资表!B6</f>
        <v>邱小艳</v>
      </c>
      <c r="C7" s="44" t="str">
        <f>工资表!C6</f>
        <v>前厅经理</v>
      </c>
      <c r="D7" s="45" t="s">
        <v>99</v>
      </c>
      <c r="E7" s="45" t="s">
        <v>99</v>
      </c>
      <c r="F7" s="45" t="s">
        <v>99</v>
      </c>
      <c r="G7" s="45" t="s">
        <v>99</v>
      </c>
      <c r="H7" s="45" t="s">
        <v>99</v>
      </c>
      <c r="I7" s="45" t="s">
        <v>99</v>
      </c>
      <c r="J7" s="45" t="s">
        <v>99</v>
      </c>
      <c r="K7" s="45" t="s">
        <v>86</v>
      </c>
      <c r="L7" s="45" t="s">
        <v>99</v>
      </c>
      <c r="M7" s="45" t="s">
        <v>99</v>
      </c>
      <c r="N7" s="45" t="s">
        <v>99</v>
      </c>
      <c r="O7" s="45" t="s">
        <v>99</v>
      </c>
      <c r="P7" s="45" t="s">
        <v>99</v>
      </c>
      <c r="Q7" s="45" t="s">
        <v>99</v>
      </c>
      <c r="R7" s="45" t="s">
        <v>86</v>
      </c>
      <c r="S7" s="45" t="s">
        <v>99</v>
      </c>
      <c r="T7" s="45" t="s">
        <v>99</v>
      </c>
      <c r="U7" s="45" t="s">
        <v>99</v>
      </c>
      <c r="V7" s="45" t="s">
        <v>99</v>
      </c>
      <c r="W7" s="45" t="s">
        <v>99</v>
      </c>
      <c r="X7" s="45" t="s">
        <v>99</v>
      </c>
      <c r="Y7" s="45" t="s">
        <v>86</v>
      </c>
      <c r="Z7" s="45" t="s">
        <v>99</v>
      </c>
      <c r="AA7" s="45" t="s">
        <v>99</v>
      </c>
      <c r="AB7" s="45" t="s">
        <v>99</v>
      </c>
      <c r="AC7" s="45" t="s">
        <v>99</v>
      </c>
      <c r="AD7" s="45" t="s">
        <v>99</v>
      </c>
      <c r="AE7" s="45" t="s">
        <v>99</v>
      </c>
      <c r="AF7" s="45" t="s">
        <v>86</v>
      </c>
      <c r="AG7" s="45" t="s">
        <v>99</v>
      </c>
      <c r="AH7" s="45" t="s">
        <v>99</v>
      </c>
      <c r="AI7" s="46">
        <f t="shared" si="0"/>
        <v>27</v>
      </c>
      <c r="AJ7" s="46">
        <f t="shared" si="1"/>
        <v>4</v>
      </c>
      <c r="AK7" s="47">
        <f t="shared" si="2"/>
        <v>27</v>
      </c>
      <c r="AL7" s="47">
        <f>COUNTIF($D7:$AH7,"出差")</f>
        <v>0</v>
      </c>
      <c r="AM7" s="47">
        <f t="shared" si="3"/>
        <v>4</v>
      </c>
      <c r="AN7" s="47">
        <f t="shared" si="4"/>
        <v>0</v>
      </c>
      <c r="AO7" s="47">
        <f t="shared" si="5"/>
        <v>0</v>
      </c>
      <c r="AP7" s="47">
        <f t="shared" si="6"/>
        <v>0</v>
      </c>
      <c r="AQ7" s="47">
        <f t="shared" si="7"/>
        <v>0</v>
      </c>
      <c r="AR7" s="47">
        <f>COUNTIF($D7:$AH7,"培训")</f>
        <v>0</v>
      </c>
      <c r="AS7" s="47">
        <f>COUNTIF($D7:$AH7,"冬休")</f>
        <v>0</v>
      </c>
      <c r="AT7" s="47">
        <f>COUNTIF($D7:$AH7,"休假")</f>
        <v>0</v>
      </c>
      <c r="AU7" s="47">
        <f>COUNTIF($D7:$AH7,"探亲")</f>
        <v>0</v>
      </c>
      <c r="AV7" s="47">
        <f>COUNTIF($D7:$AH7,"产假")</f>
        <v>0</v>
      </c>
      <c r="AW7" s="47">
        <f>COUNTIF($D7:$AH7,"陪护假")</f>
        <v>0</v>
      </c>
      <c r="AX7" s="47">
        <f>COUNTIF($D7:$AH7,"婚丧假")</f>
        <v>0</v>
      </c>
      <c r="AY7" s="47">
        <f>COUNTIF($D7:$AH7,"待岗")</f>
        <v>0</v>
      </c>
      <c r="AZ7" s="48"/>
    </row>
    <row r="8" s="12" customFormat="1" ht="32" customHeight="1" spans="1:255">
      <c r="A8" s="42">
        <v>3</v>
      </c>
      <c r="B8" s="43" t="str">
        <f>工资表!B7</f>
        <v>张智慧</v>
      </c>
      <c r="C8" s="44" t="str">
        <f>工资表!C7</f>
        <v>前厅接待</v>
      </c>
      <c r="D8" s="45"/>
      <c r="E8" s="45"/>
      <c r="F8" s="45" t="s">
        <v>99</v>
      </c>
      <c r="G8" s="45"/>
      <c r="H8" s="45"/>
      <c r="I8" s="45" t="s">
        <v>99</v>
      </c>
      <c r="J8" s="45"/>
      <c r="K8" s="45"/>
      <c r="L8" s="45" t="s">
        <v>99</v>
      </c>
      <c r="M8" s="45"/>
      <c r="N8" s="45"/>
      <c r="O8" s="45" t="s">
        <v>99</v>
      </c>
      <c r="P8" s="45"/>
      <c r="Q8" s="45"/>
      <c r="R8" s="45" t="s">
        <v>99</v>
      </c>
      <c r="S8" s="45"/>
      <c r="T8" s="45"/>
      <c r="U8" s="45" t="s">
        <v>99</v>
      </c>
      <c r="V8" s="45"/>
      <c r="W8" s="45"/>
      <c r="X8" s="45" t="s">
        <v>99</v>
      </c>
      <c r="Y8" s="45"/>
      <c r="Z8" s="45"/>
      <c r="AA8" s="45" t="s">
        <v>99</v>
      </c>
      <c r="AB8" s="45"/>
      <c r="AC8" s="45"/>
      <c r="AD8" s="45" t="s">
        <v>99</v>
      </c>
      <c r="AE8" s="45"/>
      <c r="AF8" s="45"/>
      <c r="AG8" s="45" t="s">
        <v>99</v>
      </c>
      <c r="AH8" s="45"/>
      <c r="AI8" s="49">
        <f t="shared" si="0"/>
        <v>10</v>
      </c>
      <c r="AJ8" s="46">
        <f t="shared" si="1"/>
        <v>0</v>
      </c>
      <c r="AK8" s="47">
        <f t="shared" si="2"/>
        <v>10</v>
      </c>
      <c r="AL8" s="47">
        <f>COUNTIF($D8:$AH8,"出差")</f>
        <v>0</v>
      </c>
      <c r="AM8" s="47">
        <f t="shared" si="3"/>
        <v>0</v>
      </c>
      <c r="AN8" s="47">
        <f t="shared" si="4"/>
        <v>0</v>
      </c>
      <c r="AO8" s="47">
        <f t="shared" si="5"/>
        <v>0</v>
      </c>
      <c r="AP8" s="47">
        <f t="shared" si="6"/>
        <v>0</v>
      </c>
      <c r="AQ8" s="47">
        <f t="shared" si="7"/>
        <v>0</v>
      </c>
      <c r="AR8" s="47">
        <f>COUNTIF($D8:$AH8,"培训")</f>
        <v>0</v>
      </c>
      <c r="AS8" s="47">
        <f>COUNTIF($D8:$AH8,"冬休")</f>
        <v>0</v>
      </c>
      <c r="AT8" s="47">
        <f>COUNTIF($D8:$AH8,"休假")</f>
        <v>0</v>
      </c>
      <c r="AU8" s="47">
        <f>COUNTIF($D8:$AH8,"探亲")</f>
        <v>0</v>
      </c>
      <c r="AV8" s="47">
        <f>COUNTIF($D8:$AH8,"产假")</f>
        <v>0</v>
      </c>
      <c r="AW8" s="47">
        <f>COUNTIF($D8:$AH8,"陪护假")</f>
        <v>0</v>
      </c>
      <c r="AX8" s="47">
        <f>COUNTIF($D8:$AH8,"婚丧假")</f>
        <v>0</v>
      </c>
      <c r="AY8" s="47">
        <f>COUNTIF($D8:$AH8,"待岗")</f>
        <v>0</v>
      </c>
      <c r="AZ8" s="48"/>
    </row>
    <row r="9" s="12" customFormat="1" ht="32" customHeight="1" spans="1:255">
      <c r="A9" s="42">
        <v>4</v>
      </c>
      <c r="B9" s="43" t="str">
        <f>工资表!B8</f>
        <v>陈明美</v>
      </c>
      <c r="C9" s="44" t="s">
        <v>53</v>
      </c>
      <c r="D9" s="45" t="s">
        <v>99</v>
      </c>
      <c r="E9" s="45"/>
      <c r="F9" s="45"/>
      <c r="G9" s="45" t="s">
        <v>99</v>
      </c>
      <c r="H9" s="45"/>
      <c r="I9" s="45"/>
      <c r="J9" s="45" t="s">
        <v>99</v>
      </c>
      <c r="K9" s="45"/>
      <c r="L9" s="45"/>
      <c r="M9" s="45" t="s">
        <v>99</v>
      </c>
      <c r="N9" s="45"/>
      <c r="O9" s="45"/>
      <c r="P9" s="45" t="s">
        <v>99</v>
      </c>
      <c r="Q9" s="45"/>
      <c r="R9" s="45"/>
      <c r="S9" s="45" t="s">
        <v>99</v>
      </c>
      <c r="T9" s="45"/>
      <c r="U9" s="45"/>
      <c r="V9" s="45" t="s">
        <v>99</v>
      </c>
      <c r="W9" s="45"/>
      <c r="X9" s="45"/>
      <c r="Y9" s="45" t="s">
        <v>99</v>
      </c>
      <c r="Z9" s="45"/>
      <c r="AA9" s="45"/>
      <c r="AB9" s="45" t="s">
        <v>99</v>
      </c>
      <c r="AC9" s="45"/>
      <c r="AD9" s="45"/>
      <c r="AE9" s="45" t="s">
        <v>99</v>
      </c>
      <c r="AF9" s="45"/>
      <c r="AG9" s="45"/>
      <c r="AH9" s="45" t="s">
        <v>99</v>
      </c>
      <c r="AI9" s="49">
        <f t="shared" si="0"/>
        <v>11</v>
      </c>
      <c r="AJ9" s="49">
        <f t="shared" si="1"/>
        <v>0</v>
      </c>
      <c r="AK9" s="47">
        <f t="shared" si="2"/>
        <v>11</v>
      </c>
      <c r="AL9" s="47"/>
      <c r="AM9" s="47">
        <f t="shared" si="3"/>
        <v>0</v>
      </c>
      <c r="AN9" s="47">
        <f t="shared" si="4"/>
        <v>0</v>
      </c>
      <c r="AO9" s="47">
        <f t="shared" si="5"/>
        <v>0</v>
      </c>
      <c r="AP9" s="47">
        <f t="shared" si="6"/>
        <v>0</v>
      </c>
      <c r="AQ9" s="47">
        <f t="shared" si="7"/>
        <v>0</v>
      </c>
      <c r="AR9" s="47"/>
      <c r="AS9" s="47"/>
      <c r="AT9" s="47"/>
      <c r="AU9" s="47"/>
      <c r="AV9" s="47"/>
      <c r="AW9" s="47"/>
      <c r="AX9" s="47"/>
      <c r="AY9" s="47"/>
      <c r="AZ9" s="48"/>
    </row>
    <row r="10" s="12" customFormat="1" ht="32" customHeight="1" spans="1:255">
      <c r="A10" s="42">
        <v>5</v>
      </c>
      <c r="B10" s="43" t="str">
        <f>工资表!B9</f>
        <v>马萌</v>
      </c>
      <c r="C10" s="44" t="s">
        <v>53</v>
      </c>
      <c r="D10" s="45"/>
      <c r="E10" s="45" t="s">
        <v>99</v>
      </c>
      <c r="F10" s="45"/>
      <c r="G10" s="45"/>
      <c r="H10" s="45" t="s">
        <v>99</v>
      </c>
      <c r="I10" s="45"/>
      <c r="J10" s="45"/>
      <c r="K10" s="45" t="s">
        <v>99</v>
      </c>
      <c r="L10" s="45"/>
      <c r="M10" s="45"/>
      <c r="N10" s="45" t="s">
        <v>99</v>
      </c>
      <c r="O10" s="45"/>
      <c r="P10" s="45"/>
      <c r="Q10" s="45" t="s">
        <v>99</v>
      </c>
      <c r="R10" s="45"/>
      <c r="S10" s="45"/>
      <c r="T10" s="45" t="s">
        <v>99</v>
      </c>
      <c r="U10" s="45"/>
      <c r="V10" s="45"/>
      <c r="W10" s="45" t="s">
        <v>99</v>
      </c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9">
        <f t="shared" si="0"/>
        <v>7</v>
      </c>
      <c r="AJ10" s="49">
        <f t="shared" si="1"/>
        <v>0</v>
      </c>
      <c r="AK10" s="47">
        <f t="shared" si="2"/>
        <v>7</v>
      </c>
      <c r="AL10" s="47"/>
      <c r="AM10" s="47">
        <f t="shared" si="3"/>
        <v>0</v>
      </c>
      <c r="AN10" s="47">
        <f t="shared" si="4"/>
        <v>0</v>
      </c>
      <c r="AO10" s="47">
        <f t="shared" si="5"/>
        <v>0</v>
      </c>
      <c r="AP10" s="47">
        <f t="shared" si="6"/>
        <v>0</v>
      </c>
      <c r="AQ10" s="47">
        <f t="shared" si="7"/>
        <v>0</v>
      </c>
      <c r="AR10" s="47"/>
      <c r="AS10" s="47"/>
      <c r="AT10" s="47"/>
      <c r="AU10" s="47"/>
      <c r="AV10" s="47"/>
      <c r="AW10" s="47"/>
      <c r="AX10" s="47"/>
      <c r="AY10" s="47"/>
      <c r="AZ10" s="48"/>
    </row>
    <row r="11" s="12" customFormat="1" ht="32" customHeight="1" spans="1:255">
      <c r="A11" s="42">
        <v>6</v>
      </c>
      <c r="B11" s="43" t="str">
        <f>工资表!B10</f>
        <v>吕丽苹</v>
      </c>
      <c r="C11" s="44" t="s">
        <v>58</v>
      </c>
      <c r="D11" s="45" t="s">
        <v>99</v>
      </c>
      <c r="E11" s="45" t="s">
        <v>99</v>
      </c>
      <c r="F11" s="45" t="s">
        <v>99</v>
      </c>
      <c r="G11" s="45" t="s">
        <v>99</v>
      </c>
      <c r="H11" s="45" t="s">
        <v>99</v>
      </c>
      <c r="I11" s="45" t="s">
        <v>99</v>
      </c>
      <c r="J11" s="45" t="s">
        <v>86</v>
      </c>
      <c r="K11" s="45" t="s">
        <v>99</v>
      </c>
      <c r="L11" s="45" t="s">
        <v>99</v>
      </c>
      <c r="M11" s="45" t="s">
        <v>99</v>
      </c>
      <c r="N11" s="45" t="s">
        <v>99</v>
      </c>
      <c r="O11" s="45" t="s">
        <v>99</v>
      </c>
      <c r="P11" s="45" t="s">
        <v>99</v>
      </c>
      <c r="Q11" s="45" t="s">
        <v>86</v>
      </c>
      <c r="R11" s="45" t="s">
        <v>99</v>
      </c>
      <c r="S11" s="45" t="s">
        <v>99</v>
      </c>
      <c r="T11" s="45" t="s">
        <v>99</v>
      </c>
      <c r="U11" s="45" t="s">
        <v>99</v>
      </c>
      <c r="V11" s="45" t="s">
        <v>99</v>
      </c>
      <c r="W11" s="45" t="s">
        <v>99</v>
      </c>
      <c r="X11" s="45" t="s">
        <v>86</v>
      </c>
      <c r="Y11" s="45" t="s">
        <v>99</v>
      </c>
      <c r="Z11" s="45" t="s">
        <v>99</v>
      </c>
      <c r="AA11" s="45" t="s">
        <v>99</v>
      </c>
      <c r="AB11" s="45" t="s">
        <v>99</v>
      </c>
      <c r="AC11" s="45" t="s">
        <v>99</v>
      </c>
      <c r="AD11" s="45" t="s">
        <v>86</v>
      </c>
      <c r="AE11" s="45" t="s">
        <v>99</v>
      </c>
      <c r="AF11" s="45" t="s">
        <v>99</v>
      </c>
      <c r="AG11" s="45" t="s">
        <v>99</v>
      </c>
      <c r="AH11" s="45" t="s">
        <v>99</v>
      </c>
      <c r="AI11" s="49">
        <f t="shared" si="0"/>
        <v>27</v>
      </c>
      <c r="AJ11" s="49">
        <f t="shared" si="1"/>
        <v>4</v>
      </c>
      <c r="AK11" s="47">
        <f t="shared" si="2"/>
        <v>27</v>
      </c>
      <c r="AL11" s="47">
        <f>COUNTIF($D11:$AH11,"出差")</f>
        <v>0</v>
      </c>
      <c r="AM11" s="47">
        <f t="shared" si="3"/>
        <v>4</v>
      </c>
      <c r="AN11" s="47">
        <f t="shared" si="4"/>
        <v>0</v>
      </c>
      <c r="AO11" s="47">
        <f t="shared" si="5"/>
        <v>0</v>
      </c>
      <c r="AP11" s="47">
        <f t="shared" si="6"/>
        <v>0</v>
      </c>
      <c r="AQ11" s="47">
        <f t="shared" si="7"/>
        <v>0</v>
      </c>
      <c r="AR11" s="47"/>
      <c r="AS11" s="47"/>
      <c r="AT11" s="47"/>
      <c r="AU11" s="47"/>
      <c r="AV11" s="47"/>
      <c r="AW11" s="47"/>
      <c r="AX11" s="47"/>
      <c r="AY11" s="47"/>
      <c r="AZ11" s="48"/>
    </row>
    <row r="12" s="12" customFormat="1" ht="32" customHeight="1" spans="1:255">
      <c r="A12" s="42">
        <v>7</v>
      </c>
      <c r="B12" s="43" t="str">
        <f>工资表!B11</f>
        <v>林姣</v>
      </c>
      <c r="C12" s="44" t="s">
        <v>53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 t="s">
        <v>99</v>
      </c>
      <c r="X12" s="45"/>
      <c r="Y12" s="45"/>
      <c r="Z12" s="45" t="s">
        <v>99</v>
      </c>
      <c r="AA12" s="45"/>
      <c r="AB12" s="45"/>
      <c r="AC12" s="45" t="s">
        <v>99</v>
      </c>
      <c r="AD12" s="45"/>
      <c r="AE12" s="45"/>
      <c r="AF12" s="45" t="s">
        <v>99</v>
      </c>
      <c r="AG12" s="45"/>
      <c r="AH12" s="45"/>
      <c r="AI12" s="49">
        <f t="shared" si="0"/>
        <v>4</v>
      </c>
      <c r="AJ12" s="49">
        <f t="shared" si="1"/>
        <v>0</v>
      </c>
      <c r="AK12" s="47">
        <f t="shared" si="2"/>
        <v>4</v>
      </c>
      <c r="AL12" s="47">
        <f>COUNTIF($D12:$AH12,"出差")</f>
        <v>0</v>
      </c>
      <c r="AM12" s="47">
        <f t="shared" si="3"/>
        <v>0</v>
      </c>
      <c r="AN12" s="47">
        <f t="shared" si="4"/>
        <v>0</v>
      </c>
      <c r="AO12" s="47">
        <f t="shared" si="5"/>
        <v>0</v>
      </c>
      <c r="AP12" s="47">
        <f t="shared" si="6"/>
        <v>0</v>
      </c>
      <c r="AQ12" s="47">
        <f t="shared" si="7"/>
        <v>0</v>
      </c>
      <c r="AR12" s="47"/>
      <c r="AS12" s="47"/>
      <c r="AT12" s="47"/>
      <c r="AU12" s="47"/>
      <c r="AV12" s="47"/>
      <c r="AW12" s="47"/>
      <c r="AX12" s="47"/>
      <c r="AY12" s="47"/>
      <c r="AZ12" s="48"/>
    </row>
    <row r="13" s="12" customFormat="1" ht="32" customHeight="1" spans="1:255">
      <c r="A13" s="42">
        <v>8</v>
      </c>
      <c r="B13" s="43" t="str">
        <f>工资表!B12</f>
        <v>朱月贞</v>
      </c>
      <c r="C13" s="44" t="s">
        <v>61</v>
      </c>
      <c r="D13" s="45" t="s">
        <v>99</v>
      </c>
      <c r="E13" s="45" t="s">
        <v>99</v>
      </c>
      <c r="F13" s="45" t="s">
        <v>86</v>
      </c>
      <c r="G13" s="45" t="s">
        <v>99</v>
      </c>
      <c r="H13" s="45" t="s">
        <v>99</v>
      </c>
      <c r="I13" s="45" t="s">
        <v>99</v>
      </c>
      <c r="J13" s="45" t="s">
        <v>99</v>
      </c>
      <c r="K13" s="45" t="s">
        <v>99</v>
      </c>
      <c r="L13" s="45" t="s">
        <v>99</v>
      </c>
      <c r="M13" s="45" t="s">
        <v>99</v>
      </c>
      <c r="N13" s="45" t="s">
        <v>99</v>
      </c>
      <c r="O13" s="45" t="s">
        <v>86</v>
      </c>
      <c r="P13" s="45" t="s">
        <v>99</v>
      </c>
      <c r="Q13" s="45" t="s">
        <v>99</v>
      </c>
      <c r="R13" s="45" t="s">
        <v>99</v>
      </c>
      <c r="S13" s="45" t="s">
        <v>99</v>
      </c>
      <c r="T13" s="45" t="s">
        <v>86</v>
      </c>
      <c r="U13" s="45" t="s">
        <v>99</v>
      </c>
      <c r="V13" s="45" t="s">
        <v>99</v>
      </c>
      <c r="W13" s="45" t="s">
        <v>99</v>
      </c>
      <c r="X13" s="45" t="s">
        <v>99</v>
      </c>
      <c r="Y13" s="45" t="s">
        <v>86</v>
      </c>
      <c r="Z13" s="45" t="s">
        <v>99</v>
      </c>
      <c r="AA13" s="45" t="s">
        <v>99</v>
      </c>
      <c r="AB13" s="45" t="s">
        <v>99</v>
      </c>
      <c r="AC13" s="45" t="s">
        <v>99</v>
      </c>
      <c r="AD13" s="45" t="s">
        <v>99</v>
      </c>
      <c r="AE13" s="45" t="s">
        <v>99</v>
      </c>
      <c r="AF13" s="45" t="s">
        <v>99</v>
      </c>
      <c r="AG13" s="45" t="s">
        <v>99</v>
      </c>
      <c r="AH13" s="45" t="s">
        <v>99</v>
      </c>
      <c r="AI13" s="49">
        <f t="shared" si="0"/>
        <v>27</v>
      </c>
      <c r="AJ13" s="49">
        <f t="shared" si="1"/>
        <v>4</v>
      </c>
      <c r="AK13" s="47">
        <f t="shared" si="2"/>
        <v>27</v>
      </c>
      <c r="AL13" s="47">
        <f>COUNTIF($D13:$AH13,"出差")</f>
        <v>0</v>
      </c>
      <c r="AM13" s="47">
        <f t="shared" si="3"/>
        <v>4</v>
      </c>
      <c r="AN13" s="47">
        <f t="shared" si="4"/>
        <v>0</v>
      </c>
      <c r="AO13" s="47">
        <f t="shared" si="5"/>
        <v>0</v>
      </c>
      <c r="AP13" s="47">
        <f t="shared" si="6"/>
        <v>0</v>
      </c>
      <c r="AQ13" s="47">
        <f t="shared" si="7"/>
        <v>0</v>
      </c>
      <c r="AR13" s="47"/>
      <c r="AS13" s="47"/>
      <c r="AT13" s="47"/>
      <c r="AU13" s="47"/>
      <c r="AV13" s="47"/>
      <c r="AW13" s="47"/>
      <c r="AX13" s="47"/>
      <c r="AY13" s="47"/>
      <c r="AZ13" s="48"/>
    </row>
    <row r="14" s="12" customFormat="1" ht="32" customHeight="1" spans="1:255">
      <c r="A14" s="42">
        <v>9</v>
      </c>
      <c r="B14" s="43" t="str">
        <f>工资表!B13</f>
        <v>王青林</v>
      </c>
      <c r="C14" s="44" t="s">
        <v>64</v>
      </c>
      <c r="D14" s="45" t="s">
        <v>99</v>
      </c>
      <c r="E14" s="45" t="s">
        <v>99</v>
      </c>
      <c r="F14" s="45" t="s">
        <v>86</v>
      </c>
      <c r="G14" s="45" t="s">
        <v>99</v>
      </c>
      <c r="H14" s="45" t="s">
        <v>99</v>
      </c>
      <c r="I14" s="45" t="s">
        <v>99</v>
      </c>
      <c r="J14" s="45" t="s">
        <v>99</v>
      </c>
      <c r="K14" s="45" t="s">
        <v>99</v>
      </c>
      <c r="L14" s="45" t="s">
        <v>99</v>
      </c>
      <c r="M14" s="45" t="s">
        <v>99</v>
      </c>
      <c r="N14" s="45" t="s">
        <v>99</v>
      </c>
      <c r="O14" s="45" t="s">
        <v>86</v>
      </c>
      <c r="P14" s="45" t="s">
        <v>99</v>
      </c>
      <c r="Q14" s="45" t="s">
        <v>99</v>
      </c>
      <c r="R14" s="45" t="s">
        <v>99</v>
      </c>
      <c r="S14" s="45" t="s">
        <v>99</v>
      </c>
      <c r="T14" s="45" t="s">
        <v>99</v>
      </c>
      <c r="U14" s="45" t="s">
        <v>99</v>
      </c>
      <c r="V14" s="45" t="s">
        <v>99</v>
      </c>
      <c r="W14" s="45" t="s">
        <v>99</v>
      </c>
      <c r="X14" s="45" t="s">
        <v>86</v>
      </c>
      <c r="Y14" s="45" t="s">
        <v>99</v>
      </c>
      <c r="Z14" s="45" t="s">
        <v>86</v>
      </c>
      <c r="AA14" s="45" t="s">
        <v>99</v>
      </c>
      <c r="AB14" s="45" t="s">
        <v>99</v>
      </c>
      <c r="AC14" s="45" t="s">
        <v>99</v>
      </c>
      <c r="AD14" s="45" t="s">
        <v>99</v>
      </c>
      <c r="AE14" s="45" t="s">
        <v>99</v>
      </c>
      <c r="AF14" s="45" t="s">
        <v>99</v>
      </c>
      <c r="AG14" s="45" t="s">
        <v>99</v>
      </c>
      <c r="AH14" s="45" t="s">
        <v>99</v>
      </c>
      <c r="AI14" s="49">
        <f t="shared" si="0"/>
        <v>27</v>
      </c>
      <c r="AJ14" s="49"/>
      <c r="AK14" s="47">
        <f t="shared" si="2"/>
        <v>27</v>
      </c>
      <c r="AL14" s="47"/>
      <c r="AM14" s="47">
        <f t="shared" si="3"/>
        <v>4</v>
      </c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8"/>
    </row>
    <row r="15" s="12" customFormat="1" ht="32" customHeight="1" spans="1:255">
      <c r="A15" s="42">
        <v>10</v>
      </c>
      <c r="B15" s="43" t="str">
        <f>工资表!B14</f>
        <v>吴英</v>
      </c>
      <c r="C15" s="44" t="s">
        <v>66</v>
      </c>
      <c r="D15" s="45" t="s">
        <v>99</v>
      </c>
      <c r="E15" s="45" t="s">
        <v>99</v>
      </c>
      <c r="F15" s="45" t="s">
        <v>99</v>
      </c>
      <c r="G15" s="45" t="s">
        <v>86</v>
      </c>
      <c r="H15" s="45" t="s">
        <v>99</v>
      </c>
      <c r="I15" s="45" t="s">
        <v>99</v>
      </c>
      <c r="J15" s="45" t="s">
        <v>99</v>
      </c>
      <c r="K15" s="45" t="s">
        <v>99</v>
      </c>
      <c r="L15" s="45" t="s">
        <v>99</v>
      </c>
      <c r="M15" s="45" t="s">
        <v>99</v>
      </c>
      <c r="N15" s="45" t="s">
        <v>99</v>
      </c>
      <c r="O15" s="45" t="s">
        <v>99</v>
      </c>
      <c r="P15" s="45" t="s">
        <v>99</v>
      </c>
      <c r="Q15" s="45" t="s">
        <v>99</v>
      </c>
      <c r="R15" s="45" t="s">
        <v>86</v>
      </c>
      <c r="S15" s="45" t="s">
        <v>99</v>
      </c>
      <c r="T15" s="45" t="s">
        <v>99</v>
      </c>
      <c r="U15" s="45" t="s">
        <v>99</v>
      </c>
      <c r="V15" s="45" t="s">
        <v>99</v>
      </c>
      <c r="W15" s="45" t="s">
        <v>99</v>
      </c>
      <c r="X15" s="45" t="s">
        <v>99</v>
      </c>
      <c r="Y15" s="45" t="s">
        <v>99</v>
      </c>
      <c r="Z15" s="45" t="s">
        <v>99</v>
      </c>
      <c r="AA15" s="45" t="s">
        <v>99</v>
      </c>
      <c r="AB15" s="45" t="s">
        <v>86</v>
      </c>
      <c r="AC15" s="45" t="s">
        <v>99</v>
      </c>
      <c r="AD15" s="45" t="s">
        <v>99</v>
      </c>
      <c r="AE15" s="45" t="s">
        <v>99</v>
      </c>
      <c r="AF15" s="45" t="s">
        <v>99</v>
      </c>
      <c r="AG15" s="45" t="s">
        <v>86</v>
      </c>
      <c r="AH15" s="45" t="s">
        <v>99</v>
      </c>
      <c r="AI15" s="49">
        <f t="shared" si="0"/>
        <v>27</v>
      </c>
      <c r="AJ15" s="49"/>
      <c r="AK15" s="47">
        <f t="shared" si="2"/>
        <v>27</v>
      </c>
      <c r="AL15" s="47"/>
      <c r="AM15" s="47">
        <f t="shared" si="3"/>
        <v>4</v>
      </c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8"/>
    </row>
    <row r="16" s="12" customFormat="1" ht="32" customHeight="1" spans="1:255">
      <c r="A16" s="42">
        <v>11</v>
      </c>
      <c r="B16" s="43" t="s">
        <v>67</v>
      </c>
      <c r="C16" s="44" t="s">
        <v>68</v>
      </c>
      <c r="D16" s="45" t="s">
        <v>99</v>
      </c>
      <c r="E16" s="45" t="s">
        <v>99</v>
      </c>
      <c r="F16" s="45" t="s">
        <v>99</v>
      </c>
      <c r="G16" s="45" t="s">
        <v>99</v>
      </c>
      <c r="H16" s="45" t="s">
        <v>99</v>
      </c>
      <c r="I16" s="45" t="s">
        <v>99</v>
      </c>
      <c r="J16" s="45" t="s">
        <v>99</v>
      </c>
      <c r="K16" s="45" t="s">
        <v>99</v>
      </c>
      <c r="L16" s="45" t="s">
        <v>99</v>
      </c>
      <c r="M16" s="45" t="s">
        <v>99</v>
      </c>
      <c r="N16" s="45" t="s">
        <v>99</v>
      </c>
      <c r="O16" s="45" t="s">
        <v>99</v>
      </c>
      <c r="P16" s="45" t="s">
        <v>99</v>
      </c>
      <c r="Q16" s="45" t="s">
        <v>99</v>
      </c>
      <c r="R16" s="45" t="s">
        <v>99</v>
      </c>
      <c r="S16" s="45" t="s">
        <v>99</v>
      </c>
      <c r="T16" s="45" t="s">
        <v>99</v>
      </c>
      <c r="U16" s="45" t="s">
        <v>99</v>
      </c>
      <c r="V16" s="45" t="s">
        <v>99</v>
      </c>
      <c r="W16" s="45" t="s">
        <v>99</v>
      </c>
      <c r="X16" s="45" t="s">
        <v>99</v>
      </c>
      <c r="Y16" s="45" t="s">
        <v>99</v>
      </c>
      <c r="Z16" s="45" t="s">
        <v>99</v>
      </c>
      <c r="AA16" s="45" t="s">
        <v>99</v>
      </c>
      <c r="AB16" s="45" t="s">
        <v>99</v>
      </c>
      <c r="AC16" s="45" t="s">
        <v>99</v>
      </c>
      <c r="AD16" s="45" t="s">
        <v>99</v>
      </c>
      <c r="AE16" s="45" t="s">
        <v>99</v>
      </c>
      <c r="AF16" s="45" t="s">
        <v>99</v>
      </c>
      <c r="AG16" s="45" t="s">
        <v>99</v>
      </c>
      <c r="AH16" s="45" t="s">
        <v>99</v>
      </c>
      <c r="AI16" s="49">
        <f t="shared" si="0"/>
        <v>31</v>
      </c>
      <c r="AJ16" s="49">
        <f>AM16</f>
        <v>0</v>
      </c>
      <c r="AK16" s="47">
        <f t="shared" si="2"/>
        <v>31</v>
      </c>
      <c r="AL16" s="47"/>
      <c r="AM16" s="47">
        <f t="shared" si="3"/>
        <v>0</v>
      </c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8"/>
    </row>
    <row r="17" s="12" customFormat="1" ht="20" customHeight="1" spans="2:251">
      <c r="B17" s="50" t="s">
        <v>70</v>
      </c>
      <c r="C17" s="51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3"/>
      <c r="AJ17" s="54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5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ht="24" customHeight="1" spans="2:251">
      <c r="D18" s="12"/>
      <c r="E18" s="12" t="s">
        <v>72</v>
      </c>
      <c r="K18" s="12"/>
      <c r="L18" s="12"/>
      <c r="M18" s="12"/>
      <c r="N18" s="12"/>
      <c r="R18" s="12"/>
      <c r="S18" s="12"/>
      <c r="U18" s="56"/>
      <c r="V18" s="56" t="s">
        <v>74</v>
      </c>
      <c r="Y18" s="12"/>
      <c r="Z18" s="12"/>
      <c r="AF18" s="12"/>
      <c r="AG18" s="12"/>
      <c r="AI18" s="12" t="s">
        <v>75</v>
      </c>
    </row>
    <row r="19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Zeros="0" workbookViewId="0">
      <selection activeCell="E17" sqref="E17"/>
    </sheetView>
  </sheetViews>
  <sheetFormatPr defaultColWidth="9" defaultRowHeight="30" customHeight="1" outlineLevelCol="6"/>
  <cols>
    <col min="1" max="2" width="9" style="1"/>
    <col min="3" max="3" width="12.8666666666667" style="1" customWidth="1"/>
    <col min="4" max="4" width="17.6" style="5" customWidth="1"/>
    <col min="5" max="5" width="18.5333333333333" style="5" customWidth="1"/>
    <col min="6" max="6" width="12.6" style="5"/>
    <col min="7" max="7" width="25.4" style="1" customWidth="1"/>
    <col min="8" max="8" width="9" style="1"/>
    <col min="9" max="9" width="12.6" style="1"/>
    <col min="10" max="16384" width="9" style="1"/>
  </cols>
  <sheetData>
    <row r="1" ht="15" customHeight="1"/>
    <row r="2" ht="15" customHeight="1" spans="1:7">
      <c r="A2" s="6" t="s">
        <v>31</v>
      </c>
      <c r="B2" s="6" t="s">
        <v>32</v>
      </c>
      <c r="C2" s="6" t="s">
        <v>21</v>
      </c>
      <c r="D2" s="7" t="s">
        <v>8</v>
      </c>
      <c r="E2" s="7" t="s">
        <v>100</v>
      </c>
      <c r="F2" s="7" t="s">
        <v>101</v>
      </c>
      <c r="G2" s="6" t="s">
        <v>102</v>
      </c>
    </row>
    <row r="3" ht="15" customHeight="1" spans="1:7">
      <c r="A3" s="2">
        <v>1</v>
      </c>
      <c r="B3" s="8" t="s">
        <v>47</v>
      </c>
      <c r="C3" s="2">
        <f>工资表!R5</f>
        <v>31</v>
      </c>
      <c r="D3" s="9">
        <f>(VLOOKUP(B3,工资表!B5:G5,6,0)+VLOOKUP(B3,工资表!B5:H5,7,0))/工资表!F5*VLOOKUP(B3,考勤!B6:AI6,34,0)</f>
        <v>0</v>
      </c>
      <c r="E3" s="9">
        <f>VLOOKUP(B3,工资表!B5:S5,18,0)</f>
        <v>10000</v>
      </c>
      <c r="F3" s="9">
        <f t="shared" ref="F3:F13" si="0">D3-E3</f>
        <v>-10000</v>
      </c>
      <c r="G3" s="2" t="s">
        <v>103</v>
      </c>
    </row>
    <row r="4" ht="15" customHeight="1" spans="1:7">
      <c r="A4" s="2">
        <v>2</v>
      </c>
      <c r="B4" s="8" t="s">
        <v>49</v>
      </c>
      <c r="C4" s="2">
        <f>工资表!R6</f>
        <v>27</v>
      </c>
      <c r="D4" s="9">
        <f>(VLOOKUP(B4,工资表!B6:G6,6,0)+VLOOKUP(B4,工资表!B6:H6,7,0))/工资表!F6*VLOOKUP(B4,考勤!B7:AI7,34,0)</f>
        <v>6500</v>
      </c>
      <c r="E4" s="9">
        <f>VLOOKUP(B4,工资表!B6:S6,18,0)</f>
        <v>6500.00000000001</v>
      </c>
      <c r="F4" s="9">
        <f t="shared" si="0"/>
        <v>-1.00044417195022e-11</v>
      </c>
      <c r="G4" s="2"/>
    </row>
    <row r="5" ht="15" customHeight="1" spans="1:7">
      <c r="A5" s="2">
        <v>3</v>
      </c>
      <c r="B5" s="8" t="s">
        <v>52</v>
      </c>
      <c r="C5" s="2">
        <f>工资表!R7</f>
        <v>10</v>
      </c>
      <c r="D5" s="9">
        <f>(VLOOKUP(B5,工资表!B7:G7,6,0)+VLOOKUP(B5,工资表!B7:H7,7,0))/工资表!F7*VLOOKUP(B5,考勤!B8:AI8,34,0)</f>
        <v>3500</v>
      </c>
      <c r="E5" s="9">
        <f>VLOOKUP(B5,工资表!B7:S7,18,0)</f>
        <v>3957.86</v>
      </c>
      <c r="F5" s="9">
        <f t="shared" si="0"/>
        <v>-457.86</v>
      </c>
      <c r="G5" s="10" t="s">
        <v>104</v>
      </c>
    </row>
    <row r="6" ht="15" customHeight="1" spans="1:7">
      <c r="A6" s="2">
        <v>4</v>
      </c>
      <c r="B6" s="8" t="s">
        <v>55</v>
      </c>
      <c r="C6" s="2">
        <f>工资表!R8</f>
        <v>11</v>
      </c>
      <c r="D6" s="9">
        <f>(VLOOKUP(B6,工资表!B8:G8,6,0)+VLOOKUP(B6,工资表!B8:H8,7,0))/工资表!F8*VLOOKUP(B6,考勤!B9:AI9,34,0)</f>
        <v>4200</v>
      </c>
      <c r="E6" s="9">
        <f>VLOOKUP(B6,工资表!B8:S8,18,0)</f>
        <v>4703.5</v>
      </c>
      <c r="F6" s="9">
        <f t="shared" si="0"/>
        <v>-503.499999999995</v>
      </c>
      <c r="G6" s="10" t="s">
        <v>104</v>
      </c>
    </row>
    <row r="7" ht="15" customHeight="1" spans="1:7">
      <c r="A7" s="2">
        <v>5</v>
      </c>
      <c r="B7" s="8" t="s">
        <v>56</v>
      </c>
      <c r="C7" s="2">
        <f>工资表!R9</f>
        <v>7</v>
      </c>
      <c r="D7" s="9">
        <f>(VLOOKUP(B7,工资表!B9:G9,6,0)+VLOOKUP(B7,工资表!B9:H9,7,0))/工资表!F9*VLOOKUP(B7,考勤!B10:AI10,34,0)</f>
        <v>2450</v>
      </c>
      <c r="E7" s="9">
        <f>VLOOKUP(B7,工资表!B9:S9,18,0)</f>
        <v>2683.17</v>
      </c>
      <c r="F7" s="9">
        <f t="shared" si="0"/>
        <v>-233.17</v>
      </c>
      <c r="G7" s="10" t="s">
        <v>104</v>
      </c>
    </row>
    <row r="8" ht="15" customHeight="1" spans="1:7">
      <c r="A8" s="2">
        <v>6</v>
      </c>
      <c r="B8" s="8" t="s">
        <v>57</v>
      </c>
      <c r="C8" s="2">
        <f>工资表!R10</f>
        <v>27</v>
      </c>
      <c r="D8" s="9">
        <f>(VLOOKUP(B8,工资表!B10:G10,6,0)+VLOOKUP(B8,工资表!B10:H10,7,0))/工资表!F10*VLOOKUP(B8,考勤!B11:AI11,34,0)</f>
        <v>5000</v>
      </c>
      <c r="E8" s="9">
        <f>VLOOKUP(B8,工资表!B10:S10,18,0)</f>
        <v>5000</v>
      </c>
      <c r="F8" s="9">
        <f t="shared" si="0"/>
        <v>0</v>
      </c>
      <c r="G8" s="2"/>
    </row>
    <row r="9" ht="15" customHeight="1" spans="1:7">
      <c r="A9" s="2">
        <v>7</v>
      </c>
      <c r="B9" s="8" t="s">
        <v>59</v>
      </c>
      <c r="C9" s="2">
        <f>工资表!R11</f>
        <v>4</v>
      </c>
      <c r="D9" s="9">
        <f>(VLOOKUP(B9,工资表!B11:G11,6,0)+VLOOKUP(B9,工资表!B11:H11,7,0))/工资表!F11*VLOOKUP(B9,考勤!B12:AI12,34,0)</f>
        <v>1400</v>
      </c>
      <c r="E9" s="9">
        <f>VLOOKUP(B9,工资表!B11:S11,18,0)</f>
        <v>1520.12</v>
      </c>
      <c r="F9" s="9">
        <f t="shared" si="0"/>
        <v>-120.12</v>
      </c>
      <c r="G9" s="10"/>
    </row>
    <row r="10" ht="15" customHeight="1" spans="1:7">
      <c r="A10" s="2">
        <v>8</v>
      </c>
      <c r="B10" s="8" t="s">
        <v>60</v>
      </c>
      <c r="C10" s="2">
        <f>工资表!R12</f>
        <v>27</v>
      </c>
      <c r="D10" s="9">
        <f>(VLOOKUP(B10,工资表!B12:G12,6,0)+VLOOKUP(B10,工资表!B12:H12,7,0))/工资表!F12*VLOOKUP(B10,考勤!B13:AI13,34,0)</f>
        <v>3200</v>
      </c>
      <c r="E10" s="9">
        <f>VLOOKUP(B10,工资表!B12:S12,18,0)</f>
        <v>4264</v>
      </c>
      <c r="F10" s="9">
        <f t="shared" si="0"/>
        <v>-1064</v>
      </c>
      <c r="G10" s="2" t="s">
        <v>105</v>
      </c>
    </row>
    <row r="11" ht="15" customHeight="1" spans="1:7">
      <c r="A11" s="2">
        <v>9</v>
      </c>
      <c r="B11" s="8" t="s">
        <v>63</v>
      </c>
      <c r="C11" s="2">
        <f>工资表!R13</f>
        <v>27</v>
      </c>
      <c r="D11" s="9">
        <f>(VLOOKUP(B11,工资表!B13:G13,6,0)+VLOOKUP(B11,工资表!B13:H13,7,0))/工资表!F13*VLOOKUP(B11,考勤!B14:AI14,34,0)</f>
        <v>4500</v>
      </c>
      <c r="E11" s="9">
        <f>VLOOKUP(B11,工资表!B13:S13,18,0)</f>
        <v>4500</v>
      </c>
      <c r="F11" s="9">
        <f t="shared" si="0"/>
        <v>0</v>
      </c>
      <c r="G11" s="2"/>
    </row>
    <row r="12" ht="15" customHeight="1" spans="1:7">
      <c r="A12" s="2">
        <v>10</v>
      </c>
      <c r="B12" s="8" t="s">
        <v>65</v>
      </c>
      <c r="C12" s="2">
        <f>工资表!R14</f>
        <v>27</v>
      </c>
      <c r="D12" s="9">
        <f>(VLOOKUP(B12,工资表!B14:G14,6,0)+VLOOKUP(B12,工资表!B14:H14,7,0))/工资表!F14*VLOOKUP(B12,考勤!B15:AI15,34,0)</f>
        <v>3000</v>
      </c>
      <c r="E12" s="9">
        <f>VLOOKUP(B12,工资表!B14:S14,18,0)</f>
        <v>3552</v>
      </c>
      <c r="F12" s="9">
        <f t="shared" si="0"/>
        <v>-552</v>
      </c>
      <c r="G12" s="2" t="s">
        <v>105</v>
      </c>
    </row>
    <row r="13" ht="15" customHeight="1" spans="1:7">
      <c r="A13" s="2">
        <v>11</v>
      </c>
      <c r="B13" s="8" t="s">
        <v>67</v>
      </c>
      <c r="C13" s="2">
        <f>工资表!R15</f>
        <v>31</v>
      </c>
      <c r="D13" s="9">
        <f>(VLOOKUP(B13,工资表!B15:G15,6,0)+VLOOKUP(B13,工资表!B15:H15,7,0))/工资表!F15*VLOOKUP(B13,考勤!B16:AI16,34,0)</f>
        <v>0</v>
      </c>
      <c r="E13" s="9">
        <f>VLOOKUP(B13,工资表!B15:S15,18,0)</f>
        <v>3000</v>
      </c>
      <c r="F13" s="9">
        <f t="shared" si="0"/>
        <v>-3000</v>
      </c>
      <c r="G13" s="2" t="s">
        <v>103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3"/>
  <sheetViews>
    <sheetView workbookViewId="0">
      <selection activeCell="F15" sqref="F15"/>
    </sheetView>
  </sheetViews>
  <sheetFormatPr defaultColWidth="9" defaultRowHeight="30" customHeight="1" outlineLevelCol="4"/>
  <cols>
    <col min="1" max="2" width="9" style="1"/>
    <col min="3" max="4" width="17.1333333333333" style="1" customWidth="1"/>
    <col min="5" max="5" width="12.8666666666667" style="1" customWidth="1"/>
    <col min="6" max="16384" width="9" style="1"/>
  </cols>
  <sheetData>
    <row r="2" customHeight="1" spans="1:5">
      <c r="B2" s="2" t="s">
        <v>106</v>
      </c>
      <c r="C2" s="2" t="s">
        <v>107</v>
      </c>
      <c r="D2" s="2" t="s">
        <v>108</v>
      </c>
      <c r="E2" s="2" t="s">
        <v>109</v>
      </c>
    </row>
    <row r="3" customHeight="1" spans="1:5">
      <c r="A3" s="1" t="s">
        <v>110</v>
      </c>
      <c r="B3" s="2" t="s">
        <v>111</v>
      </c>
      <c r="C3" s="3">
        <v>1</v>
      </c>
      <c r="D3" s="2">
        <v>0</v>
      </c>
      <c r="E3" s="2">
        <v>0</v>
      </c>
    </row>
    <row r="4" customHeight="1" spans="1:5">
      <c r="A4" s="1" t="s">
        <v>110</v>
      </c>
      <c r="B4" s="2" t="s">
        <v>112</v>
      </c>
      <c r="C4" s="4">
        <v>0.375</v>
      </c>
      <c r="D4" s="4">
        <v>0.375</v>
      </c>
      <c r="E4" s="3">
        <v>0.25</v>
      </c>
    </row>
    <row r="5" customHeight="1" spans="1:5">
      <c r="A5" s="1" t="s">
        <v>110</v>
      </c>
      <c r="B5" s="2" t="s">
        <v>113</v>
      </c>
      <c r="C5" s="4">
        <v>0.375</v>
      </c>
      <c r="D5" s="4">
        <v>0.375</v>
      </c>
      <c r="E5" s="3">
        <v>0.25</v>
      </c>
    </row>
    <row r="6" customHeight="1" spans="1:5">
      <c r="A6" s="1" t="s">
        <v>110</v>
      </c>
      <c r="B6" s="2" t="s">
        <v>114</v>
      </c>
      <c r="C6" s="4">
        <v>0.375</v>
      </c>
      <c r="D6" s="4">
        <v>0.375</v>
      </c>
      <c r="E6" s="3">
        <v>0.25</v>
      </c>
    </row>
    <row r="7" customHeight="1" spans="1:5">
      <c r="A7" s="1" t="s">
        <v>110</v>
      </c>
      <c r="B7" s="2" t="s">
        <v>115</v>
      </c>
      <c r="C7" s="4">
        <v>0.375</v>
      </c>
      <c r="D7" s="4">
        <v>0.375</v>
      </c>
      <c r="E7" s="3">
        <v>0.25</v>
      </c>
    </row>
    <row r="8" customHeight="1" spans="1:5">
      <c r="A8" s="1" t="s">
        <v>116</v>
      </c>
      <c r="B8" s="2" t="s">
        <v>117</v>
      </c>
      <c r="C8" s="3">
        <v>0.48</v>
      </c>
      <c r="D8" s="3">
        <v>0.32</v>
      </c>
      <c r="E8" s="3">
        <v>0.2</v>
      </c>
    </row>
    <row r="9" customHeight="1" spans="1:5">
      <c r="A9" s="1" t="s">
        <v>116</v>
      </c>
      <c r="B9" s="2" t="s">
        <v>118</v>
      </c>
      <c r="C9" s="3">
        <v>0.48</v>
      </c>
      <c r="D9" s="3">
        <v>0.32</v>
      </c>
      <c r="E9" s="3">
        <v>0.2</v>
      </c>
    </row>
    <row r="10" customHeight="1" spans="1:5">
      <c r="A10" s="1" t="s">
        <v>116</v>
      </c>
      <c r="B10" s="2" t="s">
        <v>119</v>
      </c>
      <c r="C10" s="3">
        <v>0.48</v>
      </c>
      <c r="D10" s="3">
        <v>0.32</v>
      </c>
      <c r="E10" s="3">
        <v>0.2</v>
      </c>
    </row>
    <row r="11" customHeight="1" spans="1:5">
      <c r="A11" s="1" t="s">
        <v>120</v>
      </c>
      <c r="B11" s="2" t="s">
        <v>121</v>
      </c>
      <c r="C11" s="3">
        <v>0.7</v>
      </c>
      <c r="D11" s="3">
        <v>0.3</v>
      </c>
      <c r="E11" s="3">
        <v>0</v>
      </c>
    </row>
    <row r="12" customHeight="1" spans="1:5">
      <c r="A12" s="1" t="s">
        <v>122</v>
      </c>
      <c r="B12" s="2" t="s">
        <v>51</v>
      </c>
      <c r="C12" s="3">
        <v>0.8</v>
      </c>
      <c r="D12" s="3">
        <v>0.2</v>
      </c>
      <c r="E12" s="3">
        <v>0</v>
      </c>
    </row>
    <row r="13" customHeight="1" spans="1:5">
      <c r="A13" s="1" t="s">
        <v>123</v>
      </c>
      <c r="B13" s="2" t="s">
        <v>124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~_~栗子</cp:lastModifiedBy>
  <dcterms:created xsi:type="dcterms:W3CDTF">2023-05-12T11:15:00Z</dcterms:created>
  <dcterms:modified xsi:type="dcterms:W3CDTF">2026-01-06T06:00:06Z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8D9BC8BAD5E74DFCA82CCD691DE70BFE_13</vt:lpwstr>
  </property>
  <property fmtid="{D5CDD505-2E9C-101B-9397-08002B2CF9AE}" pid="5" name="CalculationRule">
    <vt:i4>0</vt:i4>
  </property>
</Properties>
</file>