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1925" tabRatio="909" activeTab="1"/>
  </bookViews>
  <sheets>
    <sheet name="计算税金" sheetId="61" r:id="rId1"/>
    <sheet name="汇总表" sheetId="1" r:id="rId2"/>
    <sheet name="面积统计" sheetId="64" r:id="rId3"/>
    <sheet name="预缴增值税抵减明细" sheetId="65" r:id="rId4"/>
    <sheet name="画堂春锦13#14#15#17#18# 商铺" sheetId="2" r:id="rId5"/>
    <sheet name="NITRQSEY" sheetId="5" state="hidden" r:id="rId6"/>
    <sheet name="LQHLPISM" sheetId="6" state="hidden" r:id="rId7"/>
    <sheet name="WVPVRPTM" sheetId="7" state="hidden" r:id="rId8"/>
    <sheet name="TAQYOVSR" sheetId="8" state="hidden" r:id="rId9"/>
    <sheet name="ORJJAOMY" sheetId="9" state="hidden" r:id="rId10"/>
    <sheet name="SRPONDTO" sheetId="10" state="hidden" r:id="rId11"/>
    <sheet name="XJLVMTTN" sheetId="11" state="hidden" r:id="rId12"/>
    <sheet name="RMNTYCVY" sheetId="12" state="hidden" r:id="rId13"/>
    <sheet name="YQZQOESO" sheetId="13" state="hidden" r:id="rId14"/>
    <sheet name="VVRJEMRJ" sheetId="14" state="hidden" r:id="rId15"/>
    <sheet name="IRTKRNOJ" sheetId="15" state="hidden" r:id="rId16"/>
    <sheet name="OOTNVTJV" sheetId="16" state="hidden" r:id="rId17"/>
    <sheet name="SVNOPQCH" sheetId="17" state="hidden" r:id="rId18"/>
    <sheet name="画堂春锦9#10#11#12#住宅" sheetId="19" r:id="rId19"/>
    <sheet name="画堂春锦苑1#2#3#5#7#楼住宅销售明细表" sheetId="53" r:id="rId20"/>
    <sheet name="画堂春锦苑8#楼明细表" sheetId="55" r:id="rId21"/>
    <sheet name="画堂春锦苑住宅4#6#" sheetId="59" r:id="rId22"/>
    <sheet name="画堂春锦苑商业16#19#" sheetId="60" r:id="rId23"/>
    <sheet name="画堂春锦一期10#17#楼楼面积差核减" sheetId="56" r:id="rId24"/>
    <sheet name="画堂春锦苑一期未开票收入明细" sheetId="57" r:id="rId25"/>
    <sheet name="销售费率计算表" sheetId="52" r:id="rId26"/>
    <sheet name="Sheet1" sheetId="62" r:id="rId27"/>
    <sheet name="Sheet11" sheetId="47" state="hidden" r:id="rId28"/>
  </sheets>
  <externalReferences>
    <externalReference r:id="rId31"/>
    <externalReference r:id="rId32"/>
  </externalReferences>
  <definedNames>
    <definedName name="_xlnm._FilterDatabase" localSheetId="4" hidden="1">'画堂春锦13#14#15#17#18# 商铺'!$A$3:$CU$165</definedName>
    <definedName name="_xlnm._FilterDatabase" localSheetId="18" hidden="1">'画堂春锦9#10#11#12#住宅'!$A$3:$CK$349</definedName>
    <definedName name="_xlnm._FilterDatabase" localSheetId="19" hidden="1">'画堂春锦苑1#2#3#5#7#楼住宅销售明细表'!$A$3:$CP$454</definedName>
    <definedName name="_xlnm._FilterDatabase" localSheetId="20" hidden="1">'画堂春锦苑8#楼明细表'!$A$3:$BX$91</definedName>
    <definedName name="_xlnm._FilterDatabase" localSheetId="21" hidden="1">'画堂春锦苑住宅4#6#'!$A$3:$BR$173</definedName>
    <definedName name="_xlnm._FilterDatabase" localSheetId="22" hidden="1">'画堂春锦苑商业16#19#'!$A$3:$BJ$70</definedName>
    <definedName name="_xlnm._FilterDatabase" localSheetId="24" hidden="1">画堂春锦苑一期未开票收入明细!$A$2:$L$333</definedName>
    <definedName name="_xlnm._FilterDatabase" localSheetId="1" hidden="1">汇总表!#REF!</definedName>
    <definedName name="_xlnm.Print_Titles" localSheetId="4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  <comment ref="E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邵明江退地下室</t>
        </r>
      </text>
    </comment>
    <comment ref="M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81960前期申报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18-2层02吴红退100000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G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2-2-1603李桂文退20000,1-3-602靳国柱退10000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预收账款余额+其他应付款项（储藏间）+（其他应付款余额）+会费
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D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客介费代扣70842.79元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H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人防+消防泵房+消防水房间+物业用房</t>
        </r>
      </text>
    </comment>
    <comment ref="H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地下人防设施</t>
        </r>
      </text>
    </comment>
    <comment ref="H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公厕、社区用房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6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E22" authorId="1">
      <text>
        <r>
          <rPr>
            <b/>
            <sz val="9"/>
            <rFont val="宋体"/>
            <charset val="134"/>
          </rPr>
          <t>Administrator:抵账股份-巴州旺宅通门、库尔勒永绍商贸、新疆冠华（分公司-275895.27，二分公司100755.9）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  <author>Administrator</author>
  </authors>
  <commentList>
    <comment ref="F3" authorId="0">
      <text>
        <r>
          <rPr>
            <sz val="9"/>
            <rFont val="宋体"/>
            <charset val="134"/>
          </rPr>
          <t>出售还是抵账</t>
        </r>
      </text>
    </comment>
    <comment ref="F6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确定抵房时间：2025-11-25</t>
        </r>
      </text>
    </comment>
    <comment ref="I11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2025-11-30日定，款2025.12.1到账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1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<sst xmlns="http://schemas.openxmlformats.org/spreadsheetml/2006/main" count="14171" uniqueCount="6679">
  <si>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</si>
  <si>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</si>
  <si>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</si>
  <si>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</si>
  <si>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</si>
  <si>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</si>
  <si>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</si>
  <si>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</si>
  <si>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</si>
  <si>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</si>
  <si>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</si>
  <si>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</si>
  <si>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</si>
  <si>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</si>
  <si>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</si>
  <si>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</si>
  <si>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</si>
  <si>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</si>
  <si>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</si>
  <si>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</si>
  <si>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</si>
  <si>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</si>
  <si>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</si>
  <si>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</si>
  <si>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</si>
  <si>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</si>
  <si>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</si>
  <si>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</si>
  <si>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</si>
  <si>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</si>
  <si>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</si>
  <si>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</si>
  <si>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一期1102679元，剩余为二期</t>
  </si>
  <si>
    <t>一期1433447元，剩余为二期</t>
  </si>
  <si>
    <t>一期789076</t>
  </si>
  <si>
    <t>2026年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</si>
  <si>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</si>
  <si>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楼盘销售月报（2026.3）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</si>
  <si>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</si>
  <si>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</si>
  <si>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</si>
  <si>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</si>
  <si>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</si>
  <si>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</si>
  <si>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</si>
  <si>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</si>
  <si>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</si>
  <si>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</si>
  <si>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</si>
  <si>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</si>
  <si>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</si>
  <si>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</si>
  <si>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</si>
  <si>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</si>
  <si>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</si>
  <si>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</si>
  <si>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</si>
  <si>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</si>
  <si>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</si>
  <si>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</si>
  <si>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</si>
  <si>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</si>
  <si>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</si>
  <si>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</si>
  <si>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</si>
  <si>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</si>
  <si>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</si>
  <si>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</si>
  <si>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</si>
  <si>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</si>
  <si>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</si>
  <si>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</si>
  <si>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</si>
  <si>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</si>
  <si>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</si>
  <si>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</si>
  <si>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</si>
  <si>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</si>
  <si>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李志鹏商业面积差24569+1=24570
住宅面积差2916</t>
  </si>
  <si>
    <t>履约保证金</t>
  </si>
  <si>
    <t>已报税退房</t>
  </si>
  <si>
    <t>与系统差</t>
  </si>
  <si>
    <t>面积差退款，系统未减少1664</t>
  </si>
  <si>
    <t>与账面差</t>
  </si>
  <si>
    <t>新疆通力房地产开发库尔勒二分公司销售不动产税金计算表（2026.3月）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</si>
  <si>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</si>
  <si>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</si>
  <si>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</si>
  <si>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</si>
  <si>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</si>
  <si>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</si>
  <si>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预收账面贷方</t>
  </si>
  <si>
    <t>预收合计</t>
  </si>
  <si>
    <r>
      <rPr>
        <b/>
        <sz val="11"/>
        <color theme="1"/>
        <rFont val="宋体"/>
        <charset val="134"/>
        <scheme val="minor"/>
      </rPr>
      <t>144</t>
    </r>
    <r>
      <rPr>
        <b/>
        <sz val="11"/>
        <color theme="1"/>
        <rFont val="SimSun"/>
        <charset val="134"/>
      </rPr>
      <t>㎡</t>
    </r>
    <r>
      <rPr>
        <b/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</si>
  <si>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</si>
  <si>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</si>
  <si>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</si>
  <si>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</si>
  <si>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</si>
  <si>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</si>
  <si>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</si>
  <si>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</si>
  <si>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抵减不交</t>
  </si>
  <si>
    <t>城建税</t>
  </si>
  <si>
    <t>教育费附加</t>
  </si>
  <si>
    <t>地方教育附加</t>
  </si>
  <si>
    <t>土地增值税</t>
  </si>
  <si>
    <t>已计提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</si>
  <si>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</si>
  <si>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</si>
  <si>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</si>
  <si>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</si>
  <si>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</si>
  <si>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</si>
  <si>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一般计税增值税</t>
  </si>
  <si>
    <t>土地使用税</t>
  </si>
  <si>
    <t>工会经费</t>
  </si>
  <si>
    <r>
      <rPr>
        <b/>
        <sz val="12"/>
        <color theme="1"/>
        <rFont val="宋体"/>
        <charset val="134"/>
        <scheme val="minor"/>
      </rPr>
      <t>注：1、本月画堂春锦苑一期项目未开发票收入0元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，画堂春锦苑一期新售住宅开具发票530000元应缴纳的增值税43761.47元；画堂春锦苑二期项目未开发票收入220000元</t>
    </r>
    <r>
      <rPr>
        <b/>
        <sz val="12"/>
        <color rgb="FFFF0000"/>
        <rFont val="宋体"/>
        <charset val="134"/>
        <scheme val="minor"/>
      </rPr>
      <t>应缴纳的增值税18165.14元，</t>
    </r>
    <r>
      <rPr>
        <b/>
        <sz val="12"/>
        <rFont val="宋体"/>
        <charset val="134"/>
        <scheme val="minor"/>
      </rPr>
      <t>画堂春锦苑二期新售住宅开具发票</t>
    </r>
    <r>
      <rPr>
        <b/>
        <sz val="12"/>
        <color theme="1"/>
        <rFont val="宋体"/>
        <charset val="134"/>
        <scheme val="minor"/>
      </rPr>
      <t>549000元</t>
    </r>
    <r>
      <rPr>
        <b/>
        <sz val="12"/>
        <color rgb="FFFF0000"/>
        <rFont val="宋体"/>
        <charset val="134"/>
        <scheme val="minor"/>
      </rPr>
      <t>应缴纳的增值税45330.27元</t>
    </r>
    <r>
      <rPr>
        <b/>
        <sz val="12"/>
        <color theme="1"/>
        <rFont val="宋体"/>
        <charset val="134"/>
        <scheme val="minor"/>
      </rPr>
      <t>；一期开具发票冲减未开票0元；二期开具发票冲减未开票97000元；
2、租金未开票收入0元</t>
    </r>
    <r>
      <rPr>
        <b/>
        <sz val="12"/>
        <color rgb="FFFF0000"/>
        <rFont val="宋体"/>
        <charset val="134"/>
        <scheme val="minor"/>
      </rPr>
      <t>应缴纳增值税0元</t>
    </r>
    <r>
      <rPr>
        <b/>
        <sz val="12"/>
        <color theme="1"/>
        <rFont val="宋体"/>
        <charset val="134"/>
        <scheme val="minor"/>
      </rPr>
      <t>，
3、个税手续费返还0元，</t>
    </r>
    <r>
      <rPr>
        <b/>
        <sz val="12"/>
        <color rgb="FFFF0000"/>
        <rFont val="宋体"/>
        <charset val="134"/>
        <scheme val="minor"/>
      </rPr>
      <t xml:space="preserve">应缴纳增值税0元，
</t>
    </r>
    <r>
      <rPr>
        <b/>
        <sz val="12"/>
        <color theme="1"/>
        <rFont val="宋体"/>
        <charset val="134"/>
        <scheme val="minor"/>
      </rPr>
      <t xml:space="preserve">
4、应缴纳的增值税107256.88元-本月进</t>
    </r>
    <r>
      <rPr>
        <b/>
        <sz val="12"/>
        <rFont val="宋体"/>
        <charset val="134"/>
        <scheme val="minor"/>
      </rPr>
      <t>项税203111.77元+</t>
    </r>
    <r>
      <rPr>
        <b/>
        <sz val="12"/>
        <color theme="1"/>
        <rFont val="宋体"/>
        <charset val="134"/>
        <scheme val="minor"/>
      </rPr>
      <t>进项税转出240.56元-上期留抵653441.13元-预交抵减0元=</t>
    </r>
    <r>
      <rPr>
        <b/>
        <sz val="12"/>
        <color rgb="FFFF0000"/>
        <rFont val="宋体"/>
        <charset val="134"/>
        <scheme val="minor"/>
      </rPr>
      <t>-906030.17元，不交。</t>
    </r>
    <r>
      <rPr>
        <b/>
        <sz val="12"/>
        <color theme="1"/>
        <rFont val="宋体"/>
        <charset val="134"/>
        <scheme val="minor"/>
      </rPr>
      <t xml:space="preserve">
</t>
    </r>
  </si>
  <si>
    <t>2025年12月，领导安排，为配合税务局完成任务，需预缴增值税100万，最终实际申报预收款36339000元，增值税1000155.96，城建税70010.92，教育费附加30004.68，地方教育费附加20003.12，合计：1120174.68元</t>
  </si>
  <si>
    <t>税目</t>
  </si>
  <si>
    <t>摘要</t>
  </si>
  <si>
    <t>税金所属期</t>
  </si>
  <si>
    <t>计税数m²
（1）</t>
  </si>
  <si>
    <t>标准
（2）</t>
  </si>
  <si>
    <t>税额
（1）*（2）</t>
  </si>
  <si>
    <t>2026.1.1-2026.3.31</t>
  </si>
  <si>
    <t>2026年测算一季度需缴纳所得税</t>
  </si>
  <si>
    <t>画堂二期2026.1月-3月4#6#16#19#预收账款 毛利10%</t>
  </si>
  <si>
    <t>画堂春锦项目4#6#16#19#楼交房转回预计毛利10#</t>
  </si>
  <si>
    <t>主营业务收入</t>
  </si>
  <si>
    <t>其他业务收入</t>
  </si>
  <si>
    <t>营业外收入</t>
  </si>
  <si>
    <t>主营业务成本</t>
  </si>
  <si>
    <t>税金及附加</t>
  </si>
  <si>
    <t>销售费用</t>
  </si>
  <si>
    <t>管理费用</t>
  </si>
  <si>
    <t>财务费用</t>
  </si>
  <si>
    <t>营业外支出</t>
  </si>
  <si>
    <t>利润总额</t>
  </si>
  <si>
    <t>需缴纳所得税金</t>
  </si>
  <si>
    <t>已缴企业所得税</t>
  </si>
  <si>
    <t>实际应交企业所得税</t>
  </si>
  <si>
    <t>其他类型房地产</t>
  </si>
  <si>
    <t>普通住宅</t>
  </si>
  <si>
    <t>非普通住宅</t>
  </si>
  <si>
    <t>有产权地下室</t>
  </si>
  <si>
    <t>无产权地下室</t>
  </si>
  <si>
    <t>不可售</t>
  </si>
  <si>
    <t>未提交的公共配套</t>
  </si>
  <si>
    <t>画堂春锦13#14#15#17#18# 商铺</t>
  </si>
  <si>
    <t>画堂春锦9#10#11#12#住宅</t>
  </si>
  <si>
    <t>画堂春锦苑1#2#3#5#7#楼住宅销售明细表</t>
  </si>
  <si>
    <t>画堂春锦苑8#楼明细表</t>
  </si>
  <si>
    <t>画堂春锦苑住宅4#</t>
  </si>
  <si>
    <t>画堂春锦苑住宅6#</t>
  </si>
  <si>
    <t>地下室</t>
  </si>
  <si>
    <t>合计：</t>
  </si>
  <si>
    <t>可售</t>
  </si>
  <si>
    <t>已售</t>
  </si>
  <si>
    <t>比例</t>
  </si>
  <si>
    <t>画堂春锦苑9#-15#、17#18#楼</t>
  </si>
  <si>
    <t>画堂春锦苑6#、8#住宅楼、地下车库</t>
  </si>
  <si>
    <t>画堂春锦苑1-5、7、16、19、地下车库</t>
  </si>
  <si>
    <t>申报明细</t>
  </si>
  <si>
    <t>月份</t>
  </si>
  <si>
    <t>申报预收款收入</t>
  </si>
  <si>
    <t>增值税金额</t>
  </si>
  <si>
    <t>地方教育费附加</t>
  </si>
  <si>
    <t>抵减明细</t>
  </si>
  <si>
    <t>抵减月份</t>
  </si>
  <si>
    <t>剩余未抵减金额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</si>
  <si>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</si>
  <si>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</si>
  <si>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</si>
  <si>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</si>
  <si>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</si>
  <si>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</si>
  <si>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</si>
  <si>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</si>
  <si>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</si>
  <si>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</si>
  <si>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</si>
  <si>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</si>
  <si>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</si>
  <si>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</si>
  <si>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</si>
  <si>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</si>
  <si>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</si>
  <si>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</si>
  <si>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</si>
  <si>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</si>
  <si>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</si>
  <si>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</si>
  <si>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</si>
  <si>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</si>
  <si>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</si>
  <si>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</si>
  <si>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</si>
  <si>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</si>
  <si>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</si>
  <si>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</si>
  <si>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</si>
  <si>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</si>
  <si>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</si>
  <si>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</si>
  <si>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</si>
  <si>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</si>
  <si>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</si>
  <si>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</si>
  <si>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</si>
  <si>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</si>
  <si>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</si>
  <si>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</si>
  <si>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</si>
  <si>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</si>
  <si>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</si>
  <si>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</si>
  <si>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</si>
  <si>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</si>
  <si>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</si>
  <si>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</si>
  <si>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</si>
  <si>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</si>
  <si>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</si>
  <si>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</si>
  <si>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</si>
  <si>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</si>
  <si>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</si>
  <si>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</si>
  <si>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</si>
  <si>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</si>
  <si>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佣金付款2025.8</t>
  </si>
  <si>
    <t>佣金付款2025.10</t>
  </si>
  <si>
    <t>佣金付款2025.12</t>
  </si>
  <si>
    <t>佣金付款2026.2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</si>
  <si>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</si>
  <si>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</si>
  <si>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</si>
  <si>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</si>
  <si>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</si>
  <si>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</si>
  <si>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</si>
  <si>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</si>
  <si>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</si>
  <si>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</si>
  <si>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</si>
  <si>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</si>
  <si>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</si>
  <si>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</si>
  <si>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</si>
  <si>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</si>
  <si>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</si>
  <si>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</si>
  <si>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</si>
  <si>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</si>
  <si>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</si>
  <si>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</si>
  <si>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</si>
  <si>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</si>
  <si>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</si>
  <si>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</si>
  <si>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</si>
  <si>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</si>
  <si>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</si>
  <si>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</si>
  <si>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</si>
  <si>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</si>
  <si>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</si>
  <si>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</si>
  <si>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</si>
  <si>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</si>
  <si>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</si>
  <si>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</si>
  <si>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</si>
  <si>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</si>
  <si>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</si>
  <si>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</si>
  <si>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</si>
  <si>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</si>
  <si>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</si>
  <si>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</si>
  <si>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</si>
  <si>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</si>
  <si>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</si>
  <si>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</si>
  <si>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</si>
  <si>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</si>
  <si>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</si>
  <si>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</si>
  <si>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</si>
  <si>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</si>
  <si>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</si>
  <si>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</si>
  <si>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</si>
  <si>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</si>
  <si>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</si>
  <si>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</si>
  <si>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</si>
  <si>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</si>
  <si>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</si>
  <si>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</si>
  <si>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</si>
  <si>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</si>
  <si>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</si>
  <si>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</si>
  <si>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</si>
  <si>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</si>
  <si>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</si>
  <si>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</si>
  <si>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</si>
  <si>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</si>
  <si>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</si>
  <si>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</si>
  <si>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</si>
  <si>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</si>
  <si>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</si>
  <si>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</si>
  <si>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</si>
  <si>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</si>
  <si>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</si>
  <si>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</si>
  <si>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</si>
  <si>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</si>
  <si>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</si>
  <si>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</si>
  <si>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</si>
  <si>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</si>
  <si>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</si>
  <si>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</si>
  <si>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</si>
  <si>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</si>
  <si>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</si>
  <si>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</si>
  <si>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</si>
  <si>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</si>
  <si>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</si>
  <si>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</si>
  <si>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</si>
  <si>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</si>
  <si>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</si>
  <si>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</si>
  <si>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</si>
  <si>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</si>
  <si>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</si>
  <si>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</si>
  <si>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</si>
  <si>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</si>
  <si>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</si>
  <si>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</si>
  <si>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</si>
  <si>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</si>
  <si>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</si>
  <si>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</si>
  <si>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</si>
  <si>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</si>
  <si>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</si>
  <si>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</si>
  <si>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</si>
  <si>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</si>
  <si>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</si>
  <si>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</si>
  <si>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</si>
  <si>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</si>
  <si>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</si>
  <si>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</si>
  <si>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</si>
  <si>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</si>
  <si>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</si>
  <si>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</si>
  <si>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</si>
  <si>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</si>
  <si>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</si>
  <si>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</si>
  <si>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</si>
  <si>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</si>
  <si>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</si>
  <si>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</si>
  <si>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</si>
  <si>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</si>
  <si>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</si>
  <si>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</si>
  <si>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</si>
  <si>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</si>
  <si>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</si>
  <si>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</si>
  <si>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</si>
  <si>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</si>
  <si>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</si>
  <si>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</si>
  <si>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</si>
  <si>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</si>
  <si>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</si>
  <si>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</si>
  <si>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</si>
  <si>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</si>
  <si>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</si>
  <si>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</si>
  <si>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</si>
  <si>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</si>
  <si>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</si>
  <si>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</si>
  <si>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</si>
  <si>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</si>
  <si>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</si>
  <si>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</si>
  <si>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</si>
  <si>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</si>
  <si>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</si>
  <si>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</si>
  <si>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</si>
  <si>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</si>
  <si>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</si>
  <si>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</si>
  <si>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</si>
  <si>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</si>
  <si>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</si>
  <si>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</si>
  <si>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</si>
  <si>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</si>
  <si>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</si>
  <si>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</si>
  <si>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</si>
  <si>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</si>
  <si>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</si>
  <si>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</si>
  <si>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</si>
  <si>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</si>
  <si>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</si>
  <si>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</si>
  <si>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</si>
  <si>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</si>
  <si>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</si>
  <si>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</si>
  <si>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</si>
  <si>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</si>
  <si>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</si>
  <si>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</si>
  <si>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</si>
  <si>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</si>
  <si>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</si>
  <si>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</si>
  <si>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</si>
  <si>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</si>
  <si>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</si>
  <si>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</si>
  <si>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</si>
  <si>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</si>
  <si>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</si>
  <si>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</si>
  <si>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</si>
  <si>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</si>
  <si>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</si>
  <si>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</si>
  <si>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</si>
  <si>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</si>
  <si>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</si>
  <si>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</si>
  <si>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</si>
  <si>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</si>
  <si>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</si>
  <si>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</si>
  <si>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</si>
  <si>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</si>
  <si>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</si>
  <si>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</si>
  <si>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</si>
  <si>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</si>
  <si>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</si>
  <si>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</si>
  <si>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</si>
  <si>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</si>
  <si>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</si>
  <si>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</si>
  <si>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</si>
  <si>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</si>
  <si>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</si>
  <si>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</si>
  <si>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</si>
  <si>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</si>
  <si>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</si>
  <si>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</si>
  <si>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</si>
  <si>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</si>
  <si>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</si>
  <si>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</si>
  <si>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</si>
  <si>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</si>
  <si>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</si>
  <si>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</si>
  <si>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</si>
  <si>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</si>
  <si>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</si>
  <si>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</si>
  <si>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</si>
  <si>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</si>
  <si>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</si>
  <si>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</si>
  <si>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</si>
  <si>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</si>
  <si>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</si>
  <si>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</si>
  <si>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</si>
  <si>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</si>
  <si>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</si>
  <si>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</si>
  <si>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</si>
  <si>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</si>
  <si>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</si>
  <si>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</si>
  <si>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</si>
  <si>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</si>
  <si>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</si>
  <si>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</si>
  <si>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</si>
  <si>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</si>
  <si>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</si>
  <si>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</si>
  <si>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</si>
  <si>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</si>
  <si>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</si>
  <si>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</si>
  <si>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</si>
  <si>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</si>
  <si>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</si>
  <si>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</si>
  <si>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</si>
  <si>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</si>
  <si>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</si>
  <si>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</si>
  <si>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</si>
  <si>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</si>
  <si>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</si>
  <si>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</si>
  <si>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</si>
  <si>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</si>
  <si>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</si>
  <si>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</si>
  <si>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</si>
  <si>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</si>
  <si>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</si>
  <si>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</si>
  <si>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</si>
  <si>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</si>
  <si>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</si>
  <si>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</si>
  <si>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</si>
  <si>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</si>
  <si>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</si>
  <si>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</si>
  <si>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</si>
  <si>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</si>
  <si>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</si>
  <si>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</si>
  <si>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</si>
  <si>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</si>
  <si>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</si>
  <si>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</si>
  <si>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</si>
  <si>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</si>
  <si>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</si>
  <si>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</si>
  <si>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</si>
  <si>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</si>
  <si>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</si>
  <si>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</si>
  <si>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</si>
  <si>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</si>
  <si>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0001180</t>
  </si>
  <si>
    <t>652801199704282848</t>
  </si>
  <si>
    <t>金紫帆</t>
  </si>
  <si>
    <t>25652000000065979439</t>
  </si>
  <si>
    <t>杨航</t>
  </si>
  <si>
    <t>2025-9-20、30</t>
  </si>
  <si>
    <t>2025.12.3</t>
  </si>
  <si>
    <t>mate70手机</t>
  </si>
  <si>
    <t>12月缴纳</t>
  </si>
  <si>
    <t>已申报196000、10月已开票，已全额申报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</si>
  <si>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</si>
  <si>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</si>
  <si>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</si>
  <si>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</si>
  <si>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</si>
  <si>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</si>
  <si>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</si>
  <si>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</si>
  <si>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</si>
  <si>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</si>
  <si>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</si>
  <si>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</si>
  <si>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</si>
  <si>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</si>
  <si>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</si>
  <si>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</si>
  <si>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</si>
  <si>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</si>
  <si>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</si>
  <si>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</si>
  <si>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</si>
  <si>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</si>
  <si>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</si>
  <si>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</si>
  <si>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</si>
  <si>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</si>
  <si>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</si>
  <si>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</si>
  <si>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</si>
  <si>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</si>
  <si>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</si>
  <si>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</si>
  <si>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</si>
  <si>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</si>
  <si>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</si>
  <si>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</si>
  <si>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</si>
  <si>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</si>
  <si>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</si>
  <si>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</si>
  <si>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</si>
  <si>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</si>
  <si>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</si>
  <si>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</si>
  <si>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</si>
  <si>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</si>
  <si>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</si>
  <si>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</si>
  <si>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</si>
  <si>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</si>
  <si>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</si>
  <si>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</si>
  <si>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</si>
  <si>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</si>
  <si>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</si>
  <si>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</si>
  <si>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</si>
  <si>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</si>
  <si>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</si>
  <si>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</si>
  <si>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</si>
  <si>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</si>
  <si>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</si>
  <si>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</si>
  <si>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</si>
  <si>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</si>
  <si>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</si>
  <si>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</si>
  <si>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</si>
  <si>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</si>
  <si>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</si>
  <si>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</si>
  <si>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</si>
  <si>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</si>
  <si>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</si>
  <si>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</si>
  <si>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</si>
  <si>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</si>
  <si>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</si>
  <si>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</si>
  <si>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</si>
  <si>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</si>
  <si>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</si>
  <si>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破底不提佣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</si>
  <si>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</si>
  <si>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</si>
  <si>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</si>
  <si>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</si>
  <si>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</si>
  <si>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</si>
  <si>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</si>
  <si>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</si>
  <si>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</si>
  <si>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</si>
  <si>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</si>
  <si>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</si>
  <si>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</si>
  <si>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</si>
  <si>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</si>
  <si>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</si>
  <si>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</si>
  <si>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</si>
  <si>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</si>
  <si>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</si>
  <si>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</si>
  <si>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</si>
  <si>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</si>
  <si>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</si>
  <si>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</si>
  <si>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</si>
  <si>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652801200006052215</t>
  </si>
  <si>
    <t>王小龙</t>
  </si>
  <si>
    <t>26652000000163056286</t>
  </si>
  <si>
    <t>霍苒</t>
  </si>
  <si>
    <t>2026.1.30</t>
  </si>
  <si>
    <t>2月开票已申报</t>
  </si>
  <si>
    <t>抵杜7525569</t>
  </si>
  <si>
    <t>杜奇志</t>
  </si>
  <si>
    <t>3层</t>
  </si>
  <si>
    <t>2026.1.22</t>
  </si>
  <si>
    <t>已申报3871500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</si>
  <si>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</si>
  <si>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</si>
  <si>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</si>
  <si>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</si>
  <si>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</si>
  <si>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</si>
  <si>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</si>
  <si>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</si>
  <si>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</si>
  <si>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</si>
  <si>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</si>
  <si>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</si>
  <si>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</si>
  <si>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</si>
  <si>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</si>
  <si>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</si>
  <si>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</si>
  <si>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</si>
  <si>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</si>
  <si>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</si>
  <si>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</si>
  <si>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</si>
  <si>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</si>
  <si>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</si>
  <si>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</si>
  <si>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</si>
  <si>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</si>
  <si>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</si>
  <si>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</si>
  <si>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</si>
  <si>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</si>
  <si>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</si>
  <si>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</si>
  <si>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</si>
  <si>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</si>
  <si>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</si>
  <si>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</si>
  <si>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</si>
  <si>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</si>
  <si>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</si>
  <si>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</si>
  <si>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</si>
  <si>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</si>
  <si>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</si>
  <si>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</si>
  <si>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</si>
  <si>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</si>
  <si>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</si>
  <si>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</si>
  <si>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</si>
  <si>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</si>
  <si>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</si>
  <si>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</si>
  <si>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</si>
  <si>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</si>
  <si>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</si>
  <si>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</si>
  <si>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</si>
  <si>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</si>
  <si>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</si>
  <si>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</si>
  <si>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</si>
  <si>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</si>
  <si>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</si>
  <si>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</si>
  <si>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</si>
  <si>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</si>
  <si>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</si>
  <si>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</si>
  <si>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</si>
  <si>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</si>
  <si>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</si>
  <si>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</si>
  <si>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</si>
  <si>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</si>
  <si>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</si>
  <si>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</si>
  <si>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</si>
  <si>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</si>
  <si>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</si>
  <si>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</si>
  <si>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</si>
  <si>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</si>
  <si>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</si>
  <si>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</si>
  <si>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</si>
  <si>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</si>
  <si>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</si>
  <si>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</si>
  <si>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</si>
  <si>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</si>
  <si>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</si>
  <si>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</si>
  <si>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</si>
  <si>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</si>
  <si>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</si>
  <si>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</si>
  <si>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</si>
  <si>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</si>
  <si>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</si>
  <si>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</si>
  <si>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</si>
  <si>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</si>
  <si>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</si>
  <si>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</si>
  <si>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</si>
  <si>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</si>
  <si>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</si>
  <si>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</si>
  <si>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</si>
  <si>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</si>
  <si>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</si>
  <si>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</si>
  <si>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</si>
  <si>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</si>
  <si>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</si>
  <si>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</si>
  <si>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</si>
  <si>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</si>
  <si>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</si>
  <si>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</si>
  <si>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</si>
  <si>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</si>
  <si>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</si>
  <si>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</si>
  <si>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</si>
  <si>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</si>
  <si>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</si>
  <si>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</si>
  <si>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</si>
  <si>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</si>
  <si>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</si>
  <si>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</si>
  <si>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</si>
  <si>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</si>
  <si>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</si>
  <si>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</si>
  <si>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</si>
  <si>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</si>
  <si>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</si>
  <si>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</si>
  <si>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</si>
  <si>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</si>
  <si>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</si>
  <si>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</si>
  <si>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</si>
  <si>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</si>
  <si>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</si>
  <si>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</si>
  <si>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</si>
  <si>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</si>
  <si>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</si>
  <si>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</si>
  <si>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</si>
  <si>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</si>
  <si>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</si>
  <si>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</si>
  <si>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</si>
  <si>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</si>
  <si>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</si>
  <si>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</si>
  <si>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</si>
  <si>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</si>
  <si>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</si>
  <si>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</si>
  <si>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</si>
  <si>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</si>
  <si>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</si>
  <si>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</si>
  <si>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</si>
  <si>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</si>
  <si>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</si>
  <si>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</si>
  <si>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</si>
  <si>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</si>
  <si>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</si>
  <si>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</si>
  <si>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</si>
  <si>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</si>
  <si>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</si>
  <si>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</si>
  <si>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</si>
  <si>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</si>
  <si>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</si>
  <si>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</si>
  <si>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</si>
  <si>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</si>
  <si>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</si>
  <si>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</si>
  <si>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</si>
  <si>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</si>
  <si>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</si>
  <si>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</si>
  <si>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</si>
  <si>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</si>
  <si>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</si>
  <si>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</si>
  <si>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</si>
  <si>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</si>
  <si>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</si>
  <si>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</si>
  <si>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</si>
  <si>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</si>
  <si>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</si>
  <si>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</si>
  <si>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</si>
  <si>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</si>
  <si>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</si>
  <si>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</si>
  <si>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</si>
  <si>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</si>
  <si>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</si>
  <si>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</si>
  <si>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</si>
  <si>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</si>
  <si>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</si>
  <si>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</si>
  <si>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</si>
  <si>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</si>
  <si>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</si>
  <si>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</si>
  <si>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</si>
  <si>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</si>
  <si>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</si>
  <si>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</si>
  <si>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</si>
  <si>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</si>
  <si>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</si>
  <si>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</si>
  <si>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</si>
  <si>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</si>
  <si>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</si>
  <si>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</si>
  <si>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</si>
  <si>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</si>
  <si>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</si>
  <si>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</si>
  <si>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</si>
  <si>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</si>
  <si>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</si>
  <si>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</si>
  <si>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</si>
  <si>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</si>
  <si>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</si>
  <si>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</si>
  <si>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</si>
  <si>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</si>
  <si>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</si>
  <si>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</si>
  <si>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</si>
  <si>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</si>
  <si>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</si>
  <si>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</si>
  <si>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</si>
  <si>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</si>
  <si>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</si>
  <si>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</si>
  <si>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</si>
  <si>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</si>
  <si>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</si>
  <si>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</si>
  <si>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</si>
  <si>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</si>
  <si>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</si>
  <si>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</si>
  <si>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</si>
  <si>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</si>
  <si>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</si>
  <si>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</si>
  <si>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</si>
  <si>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</si>
  <si>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</si>
  <si>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</si>
  <si>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</si>
  <si>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</si>
  <si>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</si>
  <si>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</si>
  <si>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</si>
  <si>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</si>
  <si>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</si>
  <si>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</si>
  <si>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</si>
  <si>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</si>
  <si>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</si>
  <si>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</si>
  <si>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</si>
  <si>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</si>
  <si>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</si>
  <si>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</si>
  <si>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</si>
  <si>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</si>
  <si>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</si>
  <si>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</si>
  <si>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</si>
  <si>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</si>
  <si>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</si>
  <si>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</si>
  <si>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</si>
  <si>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</si>
  <si>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</si>
  <si>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</si>
  <si>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</si>
  <si>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</si>
  <si>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</si>
  <si>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</si>
  <si>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</si>
  <si>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</si>
  <si>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</si>
  <si>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</si>
  <si>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</si>
  <si>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</si>
  <si>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</si>
  <si>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</si>
  <si>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</si>
  <si>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</si>
  <si>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</si>
  <si>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</si>
  <si>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</si>
  <si>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</si>
  <si>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</si>
  <si>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</si>
  <si>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</si>
  <si>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</si>
  <si>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</si>
  <si>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</si>
  <si>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</si>
  <si>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</si>
  <si>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</si>
  <si>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</si>
  <si>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</si>
  <si>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</si>
  <si>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</si>
  <si>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</si>
  <si>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</si>
  <si>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</si>
  <si>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</si>
  <si>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</si>
  <si>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</si>
  <si>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</si>
  <si>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</si>
  <si>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</si>
  <si>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</si>
  <si>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</si>
  <si>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</si>
  <si>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</si>
  <si>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</si>
  <si>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</si>
  <si>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</si>
  <si>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</si>
  <si>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</si>
  <si>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</si>
  <si>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</si>
  <si>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</si>
  <si>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</si>
  <si>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</si>
  <si>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</si>
  <si>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</si>
  <si>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</si>
  <si>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</si>
  <si>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</si>
  <si>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</si>
  <si>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</si>
  <si>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</si>
  <si>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</si>
  <si>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</si>
  <si>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</si>
  <si>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</si>
  <si>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</si>
  <si>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</si>
  <si>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</si>
  <si>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</si>
  <si>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</si>
  <si>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</si>
  <si>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</si>
  <si>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</si>
  <si>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</si>
  <si>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</si>
  <si>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</si>
  <si>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</si>
  <si>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</si>
  <si>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</si>
  <si>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</si>
  <si>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</si>
  <si>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</si>
  <si>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</si>
  <si>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</si>
  <si>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</si>
  <si>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</si>
  <si>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</si>
  <si>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</si>
  <si>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</si>
  <si>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</si>
  <si>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</si>
  <si>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</si>
  <si>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</si>
  <si>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</si>
  <si>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</si>
  <si>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</si>
  <si>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</si>
  <si>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</si>
  <si>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</si>
  <si>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</si>
  <si>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</si>
  <si>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</si>
  <si>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</si>
  <si>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</si>
  <si>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</si>
  <si>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</si>
  <si>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</si>
  <si>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</si>
  <si>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</si>
  <si>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</si>
  <si>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</si>
  <si>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</si>
  <si>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</si>
  <si>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</si>
  <si>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</si>
  <si>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</si>
  <si>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</si>
  <si>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</si>
  <si>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</si>
  <si>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</si>
  <si>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</si>
  <si>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吴红退</t>
  </si>
  <si>
    <t>2025.7.12（9.26退）</t>
  </si>
  <si>
    <t>510124198805110171</t>
  </si>
  <si>
    <t>罗峥</t>
  </si>
  <si>
    <t>2024.12.11</t>
  </si>
  <si>
    <t>其中：会费</t>
  </si>
  <si>
    <t>预收款</t>
  </si>
  <si>
    <t>红色字体为测绘面积</t>
  </si>
  <si>
    <t>商业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</si>
  <si>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</si>
  <si>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</si>
  <si>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</si>
  <si>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</si>
  <si>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</si>
  <si>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</si>
  <si>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</si>
  <si>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</si>
  <si>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</si>
  <si>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</si>
  <si>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</si>
  <si>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</si>
  <si>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</si>
  <si>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</si>
  <si>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</si>
  <si>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</si>
  <si>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</si>
  <si>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</si>
  <si>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</si>
  <si>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</si>
  <si>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</si>
  <si>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</si>
  <si>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</si>
  <si>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</si>
  <si>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</si>
  <si>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</si>
  <si>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</si>
  <si>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</si>
  <si>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</si>
  <si>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</si>
  <si>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</si>
  <si>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</si>
  <si>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</si>
  <si>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</si>
  <si>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</si>
  <si>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</si>
  <si>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</si>
  <si>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</si>
  <si>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</si>
  <si>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</si>
  <si>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</si>
  <si>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</si>
  <si>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</si>
  <si>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</si>
  <si>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支付佣金2025.8月</t>
  </si>
  <si>
    <t>支付佣金2025.12月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</si>
  <si>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</si>
  <si>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</si>
  <si>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</si>
  <si>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</si>
  <si>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</si>
  <si>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</si>
  <si>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</si>
  <si>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</si>
  <si>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</si>
  <si>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</si>
  <si>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</si>
  <si>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</si>
  <si>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</si>
  <si>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</si>
  <si>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</si>
  <si>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</si>
  <si>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</si>
  <si>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</si>
  <si>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</si>
  <si>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</si>
  <si>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</si>
  <si>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</si>
  <si>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</si>
  <si>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</si>
  <si>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</si>
  <si>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</si>
  <si>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</si>
  <si>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</si>
  <si>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</si>
  <si>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</si>
  <si>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</si>
  <si>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</si>
  <si>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</si>
  <si>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</si>
  <si>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</si>
  <si>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</si>
  <si>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</si>
  <si>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</si>
  <si>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</si>
  <si>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</si>
  <si>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</si>
  <si>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</si>
  <si>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25652000000069444253</t>
  </si>
  <si>
    <t>（巩红卫）</t>
  </si>
  <si>
    <t>已申报20000+1237447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</si>
  <si>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</si>
  <si>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</si>
  <si>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</si>
  <si>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</si>
  <si>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</si>
  <si>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</si>
  <si>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</si>
  <si>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</si>
  <si>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</si>
  <si>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</si>
  <si>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</si>
  <si>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</si>
  <si>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</si>
  <si>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</si>
  <si>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</si>
  <si>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</si>
  <si>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</si>
  <si>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</si>
  <si>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</si>
  <si>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</si>
  <si>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</si>
  <si>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</si>
  <si>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</si>
  <si>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</si>
  <si>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</si>
  <si>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</si>
  <si>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</si>
  <si>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</si>
  <si>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</si>
  <si>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</si>
  <si>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</si>
  <si>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</si>
  <si>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</si>
  <si>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</si>
  <si>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</si>
  <si>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</si>
  <si>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</si>
  <si>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</si>
  <si>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</si>
  <si>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</si>
  <si>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</si>
  <si>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</si>
  <si>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</si>
  <si>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</si>
  <si>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</si>
  <si>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</si>
  <si>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</si>
  <si>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</si>
  <si>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</si>
  <si>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</si>
  <si>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</si>
  <si>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</si>
  <si>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</si>
  <si>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</si>
  <si>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</si>
  <si>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</si>
  <si>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</si>
  <si>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</si>
  <si>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</si>
  <si>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</si>
  <si>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</si>
  <si>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</si>
  <si>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</si>
  <si>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</si>
  <si>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</si>
  <si>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</si>
  <si>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</si>
  <si>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</si>
  <si>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</si>
  <si>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</si>
  <si>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</si>
  <si>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</si>
  <si>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</si>
  <si>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</si>
  <si>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</si>
  <si>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</si>
  <si>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</si>
  <si>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</si>
  <si>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</si>
  <si>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</si>
  <si>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</si>
  <si>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</si>
  <si>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</si>
  <si>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</si>
  <si>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</si>
  <si>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</si>
  <si>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</si>
  <si>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</si>
  <si>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</si>
  <si>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</si>
  <si>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</si>
  <si>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</si>
  <si>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</si>
  <si>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</si>
  <si>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</si>
  <si>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</si>
  <si>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</si>
  <si>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</si>
  <si>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</si>
  <si>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</si>
  <si>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</si>
  <si>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</si>
  <si>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</si>
  <si>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</si>
  <si>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</si>
  <si>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</si>
  <si>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</si>
  <si>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</si>
  <si>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</si>
  <si>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</si>
  <si>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</si>
  <si>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</si>
  <si>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</si>
  <si>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</si>
  <si>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</si>
  <si>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</si>
  <si>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25652000000084055388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</si>
  <si>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</si>
  <si>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</si>
  <si>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</si>
  <si>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</si>
  <si>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</si>
  <si>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</si>
  <si>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</si>
  <si>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</si>
  <si>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</si>
  <si>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</si>
  <si>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</si>
  <si>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</si>
  <si>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</si>
  <si>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</si>
  <si>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</si>
  <si>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</si>
  <si>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</si>
  <si>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</si>
  <si>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</si>
  <si>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</si>
  <si>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</si>
  <si>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</si>
  <si>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</si>
  <si>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</si>
  <si>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</si>
  <si>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</si>
  <si>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</si>
  <si>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</si>
  <si>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</si>
  <si>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</si>
  <si>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</si>
  <si>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</si>
  <si>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</si>
  <si>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</si>
  <si>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</si>
  <si>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</si>
  <si>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</si>
  <si>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</si>
  <si>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</si>
  <si>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</si>
  <si>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</si>
  <si>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</si>
  <si>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</si>
  <si>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</si>
  <si>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</si>
  <si>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</si>
  <si>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</si>
  <si>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</si>
  <si>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</si>
  <si>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25652000000059072734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</si>
  <si>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</si>
  <si>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</si>
  <si>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</si>
  <si>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</si>
  <si>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</si>
  <si>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</si>
  <si>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</si>
  <si>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</si>
  <si>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</si>
  <si>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</si>
  <si>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</si>
  <si>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</si>
  <si>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</si>
  <si>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</si>
  <si>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</si>
  <si>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</si>
  <si>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</si>
  <si>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</si>
  <si>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</si>
  <si>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</si>
  <si>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</si>
  <si>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</si>
  <si>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</si>
  <si>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</si>
  <si>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</si>
  <si>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</si>
  <si>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</si>
  <si>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</si>
  <si>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</si>
  <si>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</si>
  <si>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</si>
  <si>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</si>
  <si>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</si>
  <si>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</si>
  <si>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</si>
  <si>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</si>
  <si>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</si>
  <si>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</si>
  <si>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</si>
  <si>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</si>
  <si>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</si>
  <si>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</si>
  <si>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</si>
  <si>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</si>
  <si>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</si>
  <si>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</si>
  <si>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</si>
  <si>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</si>
  <si>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</si>
  <si>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</si>
  <si>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</si>
  <si>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</si>
  <si>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</si>
  <si>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</si>
  <si>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</si>
  <si>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</si>
  <si>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</si>
  <si>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</si>
  <si>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</si>
  <si>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</si>
  <si>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</si>
  <si>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</si>
  <si>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</si>
  <si>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</si>
  <si>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</si>
  <si>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</si>
  <si>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</si>
  <si>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</si>
  <si>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</si>
  <si>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</si>
  <si>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</si>
  <si>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</si>
  <si>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</si>
  <si>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</si>
  <si>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</si>
  <si>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</si>
  <si>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</si>
  <si>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</si>
  <si>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</si>
  <si>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</si>
  <si>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</si>
  <si>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</si>
  <si>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</si>
  <si>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</si>
  <si>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</si>
  <si>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</si>
  <si>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</si>
  <si>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</si>
  <si>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</si>
  <si>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</si>
  <si>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</si>
  <si>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</si>
  <si>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</si>
  <si>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</si>
  <si>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</si>
  <si>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</si>
  <si>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</si>
  <si>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</si>
  <si>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</si>
  <si>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</si>
  <si>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</si>
  <si>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</si>
  <si>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</si>
  <si>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</si>
  <si>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</si>
  <si>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</si>
  <si>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</si>
  <si>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</si>
  <si>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</si>
  <si>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</si>
  <si>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</si>
  <si>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</si>
  <si>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</si>
  <si>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</si>
  <si>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</si>
  <si>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</si>
  <si>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</si>
  <si>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</si>
  <si>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</si>
  <si>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</si>
  <si>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</si>
  <si>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</si>
  <si>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</si>
  <si>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</si>
  <si>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</si>
  <si>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</si>
  <si>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</si>
  <si>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</si>
  <si>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</si>
  <si>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</si>
  <si>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</si>
  <si>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</si>
  <si>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</si>
  <si>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</si>
  <si>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</si>
  <si>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</si>
  <si>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</si>
  <si>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</si>
  <si>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</si>
  <si>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</si>
  <si>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</si>
  <si>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</si>
  <si>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</si>
  <si>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</si>
  <si>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</si>
  <si>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</si>
  <si>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</si>
  <si>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</si>
  <si>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</si>
  <si>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</si>
  <si>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</si>
  <si>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</si>
  <si>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</si>
  <si>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</si>
  <si>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</si>
  <si>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</si>
  <si>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</si>
  <si>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</si>
  <si>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</si>
  <si>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</si>
  <si>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</si>
  <si>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</si>
  <si>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</si>
  <si>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</si>
  <si>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</si>
  <si>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</si>
  <si>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</si>
  <si>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</si>
  <si>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</si>
  <si>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</si>
  <si>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</si>
  <si>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</si>
  <si>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</si>
  <si>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</si>
  <si>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</si>
  <si>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</si>
  <si>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</si>
  <si>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</si>
  <si>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</si>
  <si>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</si>
  <si>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</si>
  <si>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</si>
  <si>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</si>
  <si>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</si>
  <si>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</si>
  <si>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</si>
  <si>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</si>
  <si>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</si>
  <si>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</si>
  <si>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</si>
  <si>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</si>
  <si>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</si>
  <si>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</si>
  <si>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</si>
  <si>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</si>
  <si>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</si>
  <si>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</si>
  <si>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</si>
  <si>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</si>
  <si>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</si>
  <si>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</si>
  <si>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</si>
  <si>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</si>
  <si>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</si>
  <si>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</si>
  <si>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</si>
  <si>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</si>
  <si>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</si>
  <si>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</si>
  <si>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</si>
  <si>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</si>
  <si>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</si>
  <si>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</si>
  <si>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</si>
  <si>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</si>
  <si>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</si>
  <si>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</si>
  <si>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</si>
  <si>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</si>
  <si>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</si>
  <si>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</si>
  <si>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</si>
  <si>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</si>
  <si>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</si>
  <si>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</si>
  <si>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</si>
  <si>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</si>
  <si>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</si>
  <si>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</si>
  <si>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</si>
  <si>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</si>
  <si>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</si>
  <si>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</si>
  <si>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</si>
  <si>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</si>
  <si>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</si>
  <si>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</si>
  <si>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</si>
  <si>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</si>
  <si>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</si>
  <si>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</si>
  <si>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</si>
  <si>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</si>
  <si>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</si>
  <si>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</si>
  <si>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</si>
  <si>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</si>
  <si>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</si>
  <si>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</si>
  <si>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</si>
  <si>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</si>
  <si>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</si>
  <si>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</si>
  <si>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</si>
  <si>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</si>
  <si>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</si>
  <si>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</si>
  <si>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</si>
  <si>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</si>
  <si>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</si>
  <si>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</si>
  <si>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</si>
  <si>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</si>
  <si>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</si>
  <si>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</si>
  <si>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</si>
  <si>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</si>
  <si>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</si>
  <si>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</si>
  <si>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</si>
  <si>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</si>
  <si>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</si>
  <si>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</si>
  <si>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</si>
  <si>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</si>
  <si>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</si>
  <si>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</si>
  <si>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</si>
  <si>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</si>
  <si>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</si>
  <si>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</si>
  <si>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</si>
  <si>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</si>
  <si>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</si>
  <si>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</si>
  <si>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</si>
  <si>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</si>
  <si>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</si>
  <si>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</si>
  <si>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</si>
  <si>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</si>
  <si>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</si>
  <si>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</si>
  <si>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</si>
  <si>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</si>
  <si>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</si>
  <si>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</si>
  <si>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</si>
  <si>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</si>
  <si>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</si>
  <si>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</si>
  <si>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</si>
  <si>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</si>
  <si>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</si>
  <si>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</si>
  <si>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</si>
  <si>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</si>
  <si>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</si>
  <si>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</si>
  <si>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</si>
  <si>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</si>
  <si>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</si>
  <si>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</si>
  <si>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</si>
  <si>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</si>
  <si>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</si>
  <si>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</si>
  <si>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</si>
  <si>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</si>
  <si>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</si>
  <si>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</si>
  <si>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</si>
  <si>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</si>
  <si>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</si>
  <si>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</si>
  <si>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</si>
  <si>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</si>
  <si>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</si>
  <si>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</si>
  <si>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</si>
  <si>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</si>
  <si>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</si>
  <si>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</si>
  <si>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</si>
  <si>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</si>
  <si>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</si>
  <si>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</si>
  <si>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</si>
  <si>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</si>
  <si>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</si>
  <si>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</si>
  <si>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</si>
  <si>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</si>
  <si>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</si>
  <si>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</si>
  <si>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</si>
  <si>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</si>
  <si>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</si>
  <si>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</si>
  <si>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</si>
  <si>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</si>
  <si>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</si>
  <si>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</si>
  <si>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</si>
  <si>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</si>
  <si>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</si>
  <si>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</si>
  <si>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</si>
  <si>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</si>
  <si>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</si>
  <si>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</si>
  <si>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</si>
  <si>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</si>
  <si>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</si>
  <si>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</si>
  <si>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</si>
  <si>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</si>
  <si>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</si>
  <si>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</si>
  <si>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</si>
  <si>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</si>
  <si>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</si>
  <si>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</si>
  <si>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</si>
  <si>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</si>
  <si>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</si>
  <si>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</si>
  <si>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</si>
  <si>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</si>
  <si>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</si>
  <si>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</si>
  <si>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</si>
  <si>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</si>
  <si>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</si>
  <si>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</si>
  <si>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</si>
  <si>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</si>
  <si>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</si>
  <si>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</si>
  <si>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</si>
  <si>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</si>
  <si>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</si>
  <si>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</si>
  <si>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</si>
  <si>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</si>
  <si>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</si>
  <si>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</si>
  <si>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</si>
  <si>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</si>
  <si>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</si>
  <si>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</si>
  <si>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</si>
  <si>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</si>
  <si>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</si>
  <si>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</si>
  <si>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</si>
  <si>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</si>
  <si>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</si>
  <si>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</si>
  <si>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</si>
  <si>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</si>
  <si>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</si>
  <si>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</si>
  <si>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</si>
  <si>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</si>
  <si>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</si>
  <si>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</si>
  <si>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</si>
  <si>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</si>
  <si>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</si>
  <si>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</si>
  <si>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</si>
  <si>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</si>
  <si>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</si>
  <si>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</si>
  <si>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</si>
  <si>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</si>
  <si>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</si>
  <si>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</si>
  <si>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</si>
  <si>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</si>
  <si>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</si>
  <si>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</si>
  <si>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</si>
  <si>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</si>
  <si>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</si>
  <si>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</si>
  <si>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</si>
  <si>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</si>
  <si>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</si>
  <si>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</si>
  <si>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</si>
  <si>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</si>
  <si>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</si>
  <si>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</si>
  <si>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</si>
  <si>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</si>
  <si>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</si>
  <si>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</si>
  <si>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</si>
  <si>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</si>
  <si>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</si>
  <si>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</si>
  <si>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</si>
  <si>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</si>
  <si>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</si>
  <si>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</si>
  <si>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</si>
  <si>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</si>
  <si>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</si>
  <si>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</si>
  <si>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</si>
  <si>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</si>
  <si>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</si>
  <si>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</si>
  <si>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</si>
  <si>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</si>
  <si>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</si>
  <si>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</si>
  <si>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</si>
  <si>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</si>
  <si>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</si>
  <si>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</si>
  <si>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</si>
  <si>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</si>
  <si>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</si>
  <si>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</si>
  <si>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</si>
  <si>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</si>
  <si>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</si>
  <si>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</si>
  <si>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</si>
  <si>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</si>
  <si>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</si>
  <si>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</si>
  <si>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</si>
  <si>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</si>
  <si>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</si>
  <si>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</si>
  <si>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</si>
  <si>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</si>
  <si>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</si>
  <si>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</si>
  <si>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</si>
  <si>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</si>
  <si>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</si>
  <si>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</si>
  <si>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</si>
  <si>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</si>
  <si>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</si>
  <si>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</si>
  <si>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</si>
  <si>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</si>
  <si>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</si>
  <si>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</si>
  <si>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</si>
  <si>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</si>
  <si>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</si>
  <si>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</si>
  <si>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</si>
  <si>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</si>
  <si>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</si>
  <si>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</si>
  <si>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</si>
  <si>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</si>
  <si>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</si>
  <si>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</si>
  <si>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</si>
  <si>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</si>
  <si>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</si>
  <si>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</si>
  <si>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</si>
  <si>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</si>
  <si>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</si>
  <si>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</si>
  <si>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</si>
  <si>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</si>
  <si>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</si>
  <si>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</si>
  <si>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</si>
  <si>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</si>
  <si>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</si>
  <si>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</si>
  <si>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</si>
  <si>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</si>
  <si>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</si>
  <si>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</si>
  <si>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</si>
  <si>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</si>
  <si>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</si>
  <si>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</si>
  <si>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</si>
  <si>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</si>
  <si>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</si>
  <si>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</si>
  <si>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</si>
  <si>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</si>
  <si>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</si>
  <si>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</si>
  <si>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</si>
  <si>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</si>
  <si>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</si>
  <si>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</si>
  <si>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</si>
  <si>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</si>
  <si>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</si>
  <si>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</si>
  <si>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</si>
  <si>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</si>
  <si>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</si>
  <si>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</si>
  <si>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</si>
  <si>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</si>
  <si>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</si>
  <si>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</si>
  <si>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</si>
  <si>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</si>
  <si>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</si>
  <si>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</si>
  <si>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</si>
  <si>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</si>
  <si>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</si>
  <si>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</si>
  <si>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</si>
  <si>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</si>
  <si>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</si>
  <si>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</si>
  <si>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</si>
  <si>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</si>
  <si>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</si>
  <si>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</si>
  <si>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</si>
  <si>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</si>
  <si>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</si>
  <si>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</si>
  <si>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</si>
  <si>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</si>
  <si>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</si>
  <si>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</si>
  <si>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</si>
  <si>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</si>
  <si>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</si>
  <si>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</si>
  <si>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</si>
  <si>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</si>
  <si>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</si>
  <si>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</si>
  <si>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</si>
  <si>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</si>
  <si>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</si>
  <si>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</si>
  <si>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</si>
  <si>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</si>
  <si>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</si>
  <si>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</si>
  <si>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</si>
  <si>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</si>
  <si>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</si>
  <si>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</si>
  <si>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</si>
  <si>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</si>
  <si>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</si>
  <si>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</si>
  <si>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</si>
  <si>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</si>
  <si>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</si>
  <si>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</si>
  <si>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</si>
  <si>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</si>
  <si>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</si>
  <si>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</si>
  <si>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</si>
  <si>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</si>
  <si>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</si>
  <si>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</si>
  <si>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</si>
  <si>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</si>
  <si>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</si>
  <si>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</si>
  <si>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</si>
  <si>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</si>
  <si>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</si>
  <si>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</si>
  <si>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</si>
  <si>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</si>
  <si>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</si>
  <si>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</si>
  <si>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</si>
  <si>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</si>
  <si>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</si>
  <si>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</si>
  <si>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</si>
  <si>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</si>
  <si>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</si>
  <si>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</si>
  <si>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</si>
  <si>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</si>
  <si>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</si>
  <si>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</si>
  <si>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</si>
  <si>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</si>
  <si>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</si>
  <si>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</si>
  <si>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</si>
  <si>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</si>
  <si>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</si>
  <si>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</si>
  <si>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</si>
  <si>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</si>
  <si>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</si>
  <si>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</si>
  <si>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</si>
  <si>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</si>
  <si>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</si>
  <si>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</si>
  <si>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</si>
  <si>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</si>
  <si>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</si>
  <si>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</si>
  <si>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</si>
  <si>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</si>
  <si>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</si>
  <si>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</si>
  <si>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</si>
  <si>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</si>
  <si>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</si>
  <si>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</si>
  <si>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</si>
  <si>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</si>
  <si>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</si>
  <si>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</si>
  <si>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</si>
  <si>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</si>
  <si>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</si>
  <si>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</si>
  <si>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</si>
  <si>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</si>
  <si>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</si>
  <si>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</si>
  <si>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</si>
  <si>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</si>
  <si>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</si>
  <si>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</si>
  <si>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</si>
  <si>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</si>
  <si>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</si>
  <si>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</si>
  <si>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</si>
  <si>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</si>
  <si>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</si>
  <si>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</si>
  <si>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</si>
  <si>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</si>
  <si>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</si>
  <si>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</si>
  <si>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</si>
  <si>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</si>
  <si>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</si>
  <si>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</si>
  <si>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</si>
  <si>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</si>
  <si>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</si>
  <si>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</si>
  <si>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</si>
  <si>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</si>
  <si>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</si>
  <si>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</si>
  <si>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</si>
  <si>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</si>
  <si>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</si>
  <si>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</si>
  <si>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</si>
  <si>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</si>
  <si>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</si>
  <si>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</si>
  <si>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</si>
  <si>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</si>
  <si>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</si>
  <si>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</si>
  <si>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</si>
  <si>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</si>
  <si>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</si>
  <si>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</si>
  <si>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</si>
  <si>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</si>
  <si>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</si>
  <si>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</si>
  <si>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</si>
  <si>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</si>
  <si>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</si>
  <si>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</si>
  <si>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</si>
  <si>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</si>
  <si>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</si>
  <si>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</si>
  <si>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</si>
  <si>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</si>
  <si>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</si>
  <si>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</si>
  <si>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</si>
  <si>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</si>
  <si>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</si>
  <si>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</si>
  <si>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</si>
  <si>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</si>
  <si>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</si>
  <si>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</si>
  <si>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</si>
  <si>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</si>
  <si>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</si>
  <si>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</si>
  <si>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</si>
  <si>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</si>
  <si>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</si>
  <si>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</si>
  <si>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</si>
  <si>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</si>
  <si>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</si>
  <si>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</si>
  <si>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</si>
  <si>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</si>
  <si>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</si>
  <si>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</si>
  <si>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</si>
  <si>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</si>
  <si>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</si>
  <si>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</si>
  <si>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</si>
  <si>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</si>
  <si>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</si>
  <si>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</si>
  <si>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</si>
  <si>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</si>
  <si>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</si>
  <si>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</si>
  <si>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</si>
  <si>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</si>
  <si>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</si>
  <si>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</si>
  <si>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</si>
  <si>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</si>
  <si>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</si>
  <si>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</si>
  <si>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</si>
  <si>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</si>
  <si>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</si>
  <si>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</si>
  <si>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</si>
  <si>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</si>
  <si>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</si>
  <si>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</si>
  <si>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</si>
  <si>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</si>
  <si>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</si>
  <si>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</si>
  <si>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</si>
  <si>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</si>
  <si>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</si>
  <si>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</si>
  <si>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</si>
  <si>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</si>
  <si>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</si>
  <si>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</si>
  <si>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</si>
  <si>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</si>
  <si>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</si>
  <si>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</si>
  <si>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</si>
  <si>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</si>
  <si>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</si>
  <si>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</si>
  <si>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</si>
  <si>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</si>
  <si>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</si>
  <si>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</si>
  <si>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</si>
  <si>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</si>
  <si>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</si>
  <si>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</si>
  <si>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</si>
  <si>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</si>
  <si>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</si>
  <si>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</si>
  <si>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</si>
  <si>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</si>
  <si>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</si>
  <si>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</si>
  <si>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</si>
  <si>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</si>
  <si>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</si>
  <si>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</si>
  <si>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</si>
  <si>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</si>
  <si>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</si>
  <si>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</si>
  <si>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</si>
  <si>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</si>
  <si>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</si>
  <si>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</si>
  <si>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</si>
  <si>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</si>
  <si>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</si>
  <si>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</si>
  <si>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</si>
  <si>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</si>
  <si>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</si>
  <si>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</si>
  <si>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</si>
  <si>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</si>
  <si>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</si>
  <si>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</si>
  <si>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</si>
  <si>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</si>
  <si>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</si>
  <si>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</si>
  <si>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</si>
  <si>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</si>
  <si>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</si>
  <si>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</si>
  <si>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</si>
  <si>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</si>
  <si>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</si>
  <si>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</si>
  <si>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</si>
  <si>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</si>
  <si>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</si>
  <si>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</si>
  <si>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</si>
  <si>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</si>
  <si>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</si>
  <si>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</si>
  <si>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</si>
  <si>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</si>
  <si>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</si>
  <si>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</si>
  <si>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</si>
  <si>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</si>
  <si>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</si>
  <si>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</si>
  <si>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</si>
  <si>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</si>
  <si>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</si>
  <si>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</si>
  <si>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</si>
  <si>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</si>
  <si>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</si>
  <si>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</si>
  <si>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</si>
  <si>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</si>
  <si>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</si>
  <si>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</si>
  <si>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</si>
  <si>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</si>
  <si>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</si>
  <si>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</si>
  <si>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</si>
  <si>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</si>
  <si>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</si>
  <si>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</si>
  <si>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</si>
  <si>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</si>
  <si>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</si>
  <si>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</si>
  <si>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</si>
  <si>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</si>
  <si>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</si>
  <si>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</si>
  <si>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</si>
  <si>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</si>
  <si>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</si>
  <si>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</si>
  <si>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</si>
  <si>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</si>
  <si>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</si>
  <si>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</si>
  <si>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</si>
  <si>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</si>
  <si>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</si>
  <si>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</si>
  <si>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</si>
  <si>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</si>
  <si>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</si>
  <si>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</si>
  <si>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</si>
  <si>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</si>
  <si>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</si>
  <si>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</si>
  <si>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</si>
  <si>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</si>
  <si>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</si>
  <si>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</si>
  <si>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20260001120</t>
  </si>
  <si>
    <t>抵账杜634586</t>
  </si>
  <si>
    <t>652801199308301672</t>
  </si>
  <si>
    <t>潘俊良</t>
  </si>
  <si>
    <t>11-2-201</t>
  </si>
  <si>
    <t>26652000000213135691</t>
  </si>
  <si>
    <t>2026-3-12</t>
  </si>
  <si>
    <t>2026-3-10、19</t>
  </si>
  <si>
    <t>开票已申报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</si>
  <si>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</si>
  <si>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</si>
  <si>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</si>
  <si>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</si>
  <si>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</si>
  <si>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</si>
  <si>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</si>
  <si>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</si>
  <si>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</si>
  <si>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</si>
  <si>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</si>
  <si>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</si>
  <si>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</si>
  <si>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</si>
  <si>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</si>
  <si>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</si>
  <si>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</si>
  <si>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</si>
  <si>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</si>
  <si>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</si>
  <si>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</si>
  <si>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</si>
  <si>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</si>
  <si>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</si>
  <si>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</si>
  <si>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</si>
  <si>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</si>
  <si>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</si>
  <si>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</si>
  <si>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</si>
  <si>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</si>
  <si>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</si>
  <si>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</si>
  <si>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</si>
  <si>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</si>
  <si>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</si>
  <si>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</si>
  <si>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</si>
  <si>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</si>
  <si>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</si>
  <si>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</si>
  <si>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</si>
  <si>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</si>
  <si>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</si>
  <si>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</si>
  <si>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</si>
  <si>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</si>
  <si>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</si>
  <si>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</si>
  <si>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</si>
  <si>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</si>
  <si>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</si>
  <si>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</si>
  <si>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</si>
  <si>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</si>
  <si>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</si>
  <si>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</si>
  <si>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</si>
  <si>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</si>
  <si>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</si>
  <si>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</si>
  <si>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</si>
  <si>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</si>
  <si>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</si>
  <si>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</si>
  <si>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</si>
  <si>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</si>
  <si>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</si>
  <si>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</si>
  <si>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</si>
  <si>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</si>
  <si>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</si>
  <si>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</si>
  <si>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</si>
  <si>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</si>
  <si>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</si>
  <si>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</si>
  <si>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</si>
  <si>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</si>
  <si>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</si>
  <si>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</si>
  <si>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</si>
  <si>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</si>
  <si>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</si>
  <si>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</si>
  <si>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</si>
  <si>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</si>
  <si>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</si>
  <si>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</si>
  <si>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</si>
  <si>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</si>
  <si>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</si>
  <si>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</si>
  <si>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</si>
  <si>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</si>
  <si>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</si>
  <si>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</si>
  <si>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</si>
  <si>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</si>
  <si>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</si>
  <si>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</si>
  <si>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</si>
  <si>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</si>
  <si>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</si>
  <si>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</si>
  <si>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</si>
  <si>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</si>
  <si>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</si>
  <si>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</si>
  <si>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</si>
  <si>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</si>
  <si>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</si>
  <si>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</si>
  <si>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</si>
  <si>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</si>
  <si>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</si>
  <si>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</si>
  <si>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</si>
  <si>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</si>
  <si>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</si>
  <si>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</si>
  <si>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</si>
  <si>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</si>
  <si>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</si>
  <si>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</si>
  <si>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</si>
  <si>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</si>
  <si>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</si>
  <si>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</si>
  <si>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</si>
  <si>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</si>
  <si>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</si>
  <si>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</si>
  <si>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</si>
  <si>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</si>
  <si>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</si>
  <si>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</si>
  <si>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</si>
  <si>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</si>
  <si>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</si>
  <si>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</si>
  <si>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</si>
  <si>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</si>
  <si>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</si>
  <si>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</si>
  <si>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</si>
  <si>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</si>
  <si>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</si>
  <si>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</si>
  <si>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</si>
  <si>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</si>
  <si>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</si>
  <si>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</si>
  <si>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</si>
  <si>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</si>
  <si>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</si>
  <si>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</si>
  <si>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</si>
  <si>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</si>
  <si>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</si>
  <si>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</si>
  <si>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</si>
  <si>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</si>
  <si>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</si>
  <si>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</si>
  <si>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</si>
  <si>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</si>
  <si>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</si>
  <si>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</si>
  <si>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</si>
  <si>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</si>
  <si>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</si>
  <si>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</si>
  <si>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</si>
  <si>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</si>
  <si>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</si>
  <si>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</si>
  <si>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</si>
  <si>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</si>
  <si>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</si>
  <si>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</si>
  <si>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</si>
  <si>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</si>
  <si>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</si>
  <si>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</si>
  <si>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</si>
  <si>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</si>
  <si>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</si>
  <si>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</si>
  <si>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</si>
  <si>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</si>
  <si>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</si>
  <si>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</si>
  <si>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</si>
  <si>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</si>
  <si>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</si>
  <si>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</si>
  <si>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</si>
  <si>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</si>
  <si>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</si>
  <si>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</si>
  <si>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</si>
  <si>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</si>
  <si>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</si>
  <si>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</si>
  <si>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</si>
  <si>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</si>
  <si>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</si>
  <si>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</si>
  <si>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</si>
  <si>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</si>
  <si>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</si>
  <si>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</si>
  <si>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</si>
  <si>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</si>
  <si>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</si>
  <si>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</si>
  <si>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</si>
  <si>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</si>
  <si>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</si>
  <si>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</si>
  <si>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</si>
  <si>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</si>
  <si>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</si>
  <si>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</si>
  <si>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</si>
  <si>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</si>
  <si>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</si>
  <si>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</si>
  <si>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</si>
  <si>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</si>
  <si>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</si>
  <si>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</si>
  <si>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</si>
  <si>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</si>
  <si>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</si>
  <si>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</si>
  <si>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</si>
  <si>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</si>
  <si>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</si>
  <si>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</si>
  <si>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</si>
  <si>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</si>
  <si>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</si>
  <si>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</si>
  <si>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</si>
  <si>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</si>
  <si>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</si>
  <si>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</si>
  <si>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</si>
  <si>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</si>
  <si>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</si>
  <si>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</si>
  <si>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</si>
  <si>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</si>
  <si>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</si>
  <si>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</si>
  <si>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</si>
  <si>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</si>
  <si>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</si>
  <si>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</si>
  <si>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</si>
  <si>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</si>
  <si>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</si>
  <si>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</si>
  <si>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</si>
  <si>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</si>
  <si>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</si>
  <si>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</si>
  <si>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</si>
  <si>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</si>
  <si>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</si>
  <si>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</si>
  <si>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</si>
  <si>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</si>
  <si>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</si>
  <si>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</si>
  <si>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</si>
  <si>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</si>
  <si>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</si>
  <si>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</si>
  <si>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</si>
  <si>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</si>
  <si>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</si>
  <si>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</si>
  <si>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</si>
  <si>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</si>
  <si>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</si>
  <si>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</si>
  <si>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</si>
  <si>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</si>
  <si>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</si>
  <si>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</si>
  <si>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</si>
  <si>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</si>
  <si>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</si>
  <si>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</si>
  <si>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</si>
  <si>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</si>
  <si>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</si>
  <si>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</si>
  <si>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</si>
  <si>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</si>
  <si>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</si>
  <si>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</si>
  <si>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</si>
  <si>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</si>
  <si>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</si>
  <si>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</si>
  <si>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</si>
  <si>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</si>
  <si>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</si>
  <si>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</si>
  <si>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</si>
  <si>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</si>
  <si>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</si>
  <si>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</si>
  <si>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</si>
  <si>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</si>
  <si>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</si>
  <si>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</si>
  <si>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</si>
  <si>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</si>
  <si>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</si>
  <si>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</si>
  <si>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</si>
  <si>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</si>
  <si>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</si>
  <si>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</si>
  <si>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</si>
  <si>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</si>
  <si>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</si>
  <si>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</si>
  <si>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</si>
  <si>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</si>
  <si>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</si>
  <si>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</si>
  <si>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</si>
  <si>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</si>
  <si>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</si>
  <si>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</si>
  <si>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</si>
  <si>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</si>
  <si>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</si>
  <si>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</si>
  <si>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</si>
  <si>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</si>
  <si>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</si>
  <si>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</si>
  <si>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</si>
  <si>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</si>
  <si>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</si>
  <si>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</si>
  <si>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</si>
  <si>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</si>
  <si>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</si>
  <si>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</si>
  <si>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</si>
  <si>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</si>
  <si>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</si>
  <si>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</si>
  <si>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</si>
  <si>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</si>
  <si>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</si>
  <si>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马秀英</t>
  </si>
  <si>
    <t>12-1-401</t>
  </si>
  <si>
    <t>25652000000041860475</t>
  </si>
  <si>
    <t>15001599932</t>
  </si>
  <si>
    <t>抵账房 有车位</t>
  </si>
  <si>
    <t>已交（10月）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</si>
  <si>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</si>
  <si>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</si>
  <si>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</si>
  <si>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</si>
  <si>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</si>
  <si>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</si>
  <si>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</si>
  <si>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</si>
  <si>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</si>
  <si>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</si>
  <si>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</si>
  <si>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</si>
  <si>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</si>
  <si>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</si>
  <si>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</si>
  <si>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</si>
  <si>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</si>
  <si>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</si>
  <si>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</si>
  <si>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</si>
  <si>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</si>
  <si>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</si>
  <si>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</si>
  <si>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</si>
  <si>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</si>
  <si>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</si>
  <si>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</si>
  <si>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</si>
  <si>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</si>
  <si>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</si>
  <si>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</si>
  <si>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</si>
  <si>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</si>
  <si>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</si>
  <si>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</si>
  <si>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</si>
  <si>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</si>
  <si>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</si>
  <si>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</si>
  <si>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</si>
  <si>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</si>
  <si>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</si>
  <si>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</si>
  <si>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</si>
  <si>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</si>
  <si>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</si>
  <si>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</si>
  <si>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</si>
  <si>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</si>
  <si>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</si>
  <si>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</si>
  <si>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</si>
  <si>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</si>
  <si>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</si>
  <si>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</si>
  <si>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</si>
  <si>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</si>
  <si>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</si>
  <si>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</si>
  <si>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</si>
  <si>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</si>
  <si>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</si>
  <si>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</si>
  <si>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</si>
  <si>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</si>
  <si>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</si>
  <si>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</si>
  <si>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</si>
  <si>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</si>
  <si>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2025.11.19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</si>
  <si>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</si>
  <si>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</si>
  <si>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</si>
  <si>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</si>
  <si>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</si>
  <si>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</si>
  <si>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</si>
  <si>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</si>
  <si>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</si>
  <si>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</si>
  <si>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</si>
  <si>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</si>
  <si>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</si>
  <si>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</si>
  <si>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</si>
  <si>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</si>
  <si>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</si>
  <si>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</si>
  <si>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</si>
  <si>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</si>
  <si>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</si>
  <si>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</si>
  <si>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</si>
  <si>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</si>
  <si>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</si>
  <si>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</si>
  <si>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</si>
  <si>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</si>
  <si>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</si>
  <si>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</si>
  <si>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</si>
  <si>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</si>
  <si>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</si>
  <si>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13063719900112006X</t>
  </si>
  <si>
    <t>李美田</t>
  </si>
  <si>
    <t>12-1-1102</t>
  </si>
  <si>
    <t>7459.57抵账单价</t>
  </si>
  <si>
    <t>26652000000169298311</t>
  </si>
  <si>
    <t>2026-2-27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</si>
  <si>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</si>
  <si>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</si>
  <si>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</si>
  <si>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</si>
  <si>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</si>
  <si>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</si>
  <si>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</si>
  <si>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</si>
  <si>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</si>
  <si>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</si>
  <si>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</si>
  <si>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</si>
  <si>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</si>
  <si>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</si>
  <si>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</si>
  <si>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</si>
  <si>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</si>
  <si>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</si>
  <si>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</si>
  <si>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</si>
  <si>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</si>
  <si>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</si>
  <si>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</si>
  <si>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</si>
  <si>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</si>
  <si>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</si>
  <si>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</si>
  <si>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</si>
  <si>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</si>
  <si>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</si>
  <si>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</si>
  <si>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</si>
  <si>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</si>
  <si>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</si>
  <si>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</si>
  <si>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</si>
  <si>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</si>
  <si>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</si>
  <si>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</si>
  <si>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</si>
  <si>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</si>
  <si>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</si>
  <si>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</si>
  <si>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</si>
  <si>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</si>
  <si>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</si>
  <si>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</si>
  <si>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</si>
  <si>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</si>
  <si>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</si>
  <si>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</si>
  <si>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</si>
  <si>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</si>
  <si>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</si>
  <si>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</si>
  <si>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</si>
  <si>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</si>
  <si>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</si>
  <si>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</si>
  <si>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</si>
  <si>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</si>
  <si>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</si>
  <si>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</si>
  <si>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</si>
  <si>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</si>
  <si>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</si>
  <si>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</si>
  <si>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</si>
  <si>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</si>
  <si>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</si>
  <si>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</si>
  <si>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</si>
  <si>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</si>
  <si>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</si>
  <si>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</si>
  <si>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</si>
  <si>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</si>
  <si>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</si>
  <si>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</si>
  <si>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</si>
  <si>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</si>
  <si>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</si>
  <si>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</si>
  <si>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</si>
  <si>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</si>
  <si>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</si>
  <si>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</si>
  <si>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</si>
  <si>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</si>
  <si>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</si>
  <si>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</si>
  <si>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</si>
  <si>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</si>
  <si>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</si>
  <si>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</si>
  <si>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</si>
  <si>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</si>
  <si>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</si>
  <si>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</si>
  <si>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</si>
  <si>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</si>
  <si>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</si>
  <si>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</si>
  <si>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</si>
  <si>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</si>
  <si>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</si>
  <si>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</si>
  <si>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</si>
  <si>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</si>
  <si>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</si>
  <si>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</si>
  <si>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</si>
  <si>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</si>
  <si>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</si>
  <si>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</si>
  <si>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</si>
  <si>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</si>
  <si>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</si>
  <si>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</si>
  <si>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</si>
  <si>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</si>
  <si>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</si>
  <si>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</si>
  <si>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</si>
  <si>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</si>
  <si>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</si>
  <si>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</si>
  <si>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</si>
  <si>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</si>
  <si>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</si>
  <si>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</si>
  <si>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</si>
  <si>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</si>
  <si>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</si>
  <si>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</si>
  <si>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</si>
  <si>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</si>
  <si>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</si>
  <si>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</si>
  <si>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</si>
  <si>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</si>
  <si>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</si>
  <si>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</si>
  <si>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</si>
  <si>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</si>
  <si>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</si>
  <si>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</si>
  <si>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</si>
  <si>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</si>
  <si>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</si>
  <si>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</si>
  <si>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</si>
  <si>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</si>
  <si>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</si>
  <si>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</si>
  <si>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</si>
  <si>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</si>
  <si>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</si>
  <si>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</si>
  <si>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</si>
  <si>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</si>
  <si>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</si>
  <si>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</si>
  <si>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</si>
  <si>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</si>
  <si>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</si>
  <si>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</si>
  <si>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</si>
  <si>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</si>
  <si>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</si>
  <si>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</si>
  <si>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</si>
  <si>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</si>
  <si>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</si>
  <si>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</si>
  <si>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</si>
  <si>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</si>
  <si>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</si>
  <si>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</si>
  <si>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</si>
  <si>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</si>
  <si>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</si>
  <si>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</si>
  <si>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</si>
  <si>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</si>
  <si>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</si>
  <si>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</si>
  <si>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</si>
  <si>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</si>
  <si>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</si>
  <si>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</si>
  <si>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</si>
  <si>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</si>
  <si>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</si>
  <si>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</si>
  <si>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</si>
  <si>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</si>
  <si>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</si>
  <si>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</si>
  <si>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</si>
  <si>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</si>
  <si>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</si>
  <si>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</si>
  <si>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</si>
  <si>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</si>
  <si>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</si>
  <si>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</si>
  <si>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</si>
  <si>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</si>
  <si>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</si>
  <si>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</si>
  <si>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</si>
  <si>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</si>
  <si>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</si>
  <si>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</si>
  <si>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</si>
  <si>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</si>
  <si>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</si>
  <si>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</si>
  <si>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</si>
  <si>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</si>
  <si>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</si>
  <si>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</si>
  <si>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</si>
  <si>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</si>
  <si>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</si>
  <si>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</si>
  <si>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</si>
  <si>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</si>
  <si>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</si>
  <si>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</si>
  <si>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</si>
  <si>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</si>
  <si>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</si>
  <si>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</si>
  <si>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</si>
  <si>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</si>
  <si>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</si>
  <si>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</si>
  <si>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</si>
  <si>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</si>
  <si>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</si>
  <si>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</si>
  <si>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</si>
  <si>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</si>
  <si>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</si>
  <si>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</si>
  <si>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</si>
  <si>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</si>
  <si>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</si>
  <si>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</si>
  <si>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</si>
  <si>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</si>
  <si>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</si>
  <si>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</si>
  <si>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</si>
  <si>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</si>
  <si>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</si>
  <si>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</si>
  <si>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</si>
  <si>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</si>
  <si>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</si>
  <si>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</si>
  <si>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</si>
  <si>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</si>
  <si>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</si>
  <si>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</si>
  <si>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</si>
  <si>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</si>
  <si>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</si>
  <si>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</si>
  <si>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</si>
  <si>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</si>
  <si>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</si>
  <si>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</si>
  <si>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</si>
  <si>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</si>
  <si>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</si>
  <si>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</si>
  <si>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</si>
  <si>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</si>
  <si>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</si>
  <si>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</si>
  <si>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</si>
  <si>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</si>
  <si>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</si>
  <si>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</si>
  <si>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</si>
  <si>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</si>
  <si>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</si>
  <si>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</si>
  <si>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</si>
  <si>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</si>
  <si>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</si>
  <si>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</si>
  <si>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</si>
  <si>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</si>
  <si>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</si>
  <si>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</si>
  <si>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</si>
  <si>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</si>
  <si>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</si>
  <si>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</si>
  <si>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</si>
  <si>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</si>
  <si>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</si>
  <si>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</si>
  <si>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</si>
  <si>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</si>
  <si>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</si>
  <si>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</si>
  <si>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</si>
  <si>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</si>
  <si>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</si>
  <si>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</si>
  <si>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</si>
  <si>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</si>
  <si>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</si>
  <si>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</si>
  <si>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</si>
  <si>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</si>
  <si>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</si>
  <si>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</si>
  <si>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</si>
  <si>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</si>
  <si>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</si>
  <si>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</si>
  <si>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</si>
  <si>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</si>
  <si>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</si>
  <si>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</si>
  <si>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</si>
  <si>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</si>
  <si>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</si>
  <si>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</si>
  <si>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</si>
  <si>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</si>
  <si>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</si>
  <si>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</si>
  <si>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</si>
  <si>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</si>
  <si>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</si>
  <si>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</si>
  <si>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</si>
  <si>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</si>
  <si>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</si>
  <si>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</si>
  <si>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</si>
  <si>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</si>
  <si>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</si>
  <si>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</si>
  <si>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</si>
  <si>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</si>
  <si>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</si>
  <si>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</si>
  <si>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</si>
  <si>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</si>
  <si>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</si>
  <si>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</si>
  <si>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</si>
  <si>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</si>
  <si>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</si>
  <si>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</si>
  <si>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</si>
  <si>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</si>
  <si>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</si>
  <si>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</si>
  <si>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</si>
  <si>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</si>
  <si>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</si>
  <si>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</si>
  <si>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</si>
  <si>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</si>
  <si>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</si>
  <si>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</si>
  <si>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</si>
  <si>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</si>
  <si>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</si>
  <si>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</si>
  <si>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</si>
  <si>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</si>
  <si>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</si>
  <si>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</si>
  <si>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</si>
  <si>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</si>
  <si>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</si>
  <si>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</si>
  <si>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</si>
  <si>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</si>
  <si>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</si>
  <si>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</si>
  <si>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</si>
  <si>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</si>
  <si>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</si>
  <si>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</si>
  <si>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</si>
  <si>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2025.8月</t>
  </si>
  <si>
    <t>2025.9月</t>
  </si>
  <si>
    <t>2025.10月</t>
  </si>
  <si>
    <t>2025.11月</t>
  </si>
  <si>
    <t>2025.12月</t>
  </si>
  <si>
    <t>2026.1月</t>
  </si>
  <si>
    <t>2026.2月</t>
  </si>
  <si>
    <t>2026.3月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</si>
  <si>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</si>
  <si>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</si>
  <si>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</si>
  <si>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</si>
  <si>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</si>
  <si>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</si>
  <si>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</si>
  <si>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</si>
  <si>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</si>
  <si>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</si>
  <si>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</si>
  <si>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</si>
  <si>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</si>
  <si>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</si>
  <si>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</si>
  <si>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</si>
  <si>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</si>
  <si>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</si>
  <si>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</si>
  <si>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</si>
  <si>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</si>
  <si>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</si>
  <si>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</si>
  <si>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</si>
  <si>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</si>
  <si>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</si>
  <si>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</si>
  <si>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</si>
  <si>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</si>
  <si>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</si>
  <si>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</si>
  <si>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</si>
  <si>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抵账718477</t>
  </si>
  <si>
    <t>652827198705273213</t>
  </si>
  <si>
    <t>孙琛皓 李彬（抵账）</t>
  </si>
  <si>
    <t>1-1-201</t>
  </si>
  <si>
    <t>26652000000010250041</t>
  </si>
  <si>
    <t>已交（12月）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</si>
  <si>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</si>
  <si>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</si>
  <si>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</si>
  <si>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</si>
  <si>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</si>
  <si>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</si>
  <si>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</si>
  <si>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</si>
  <si>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</si>
  <si>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</si>
  <si>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</si>
  <si>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</si>
  <si>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</si>
  <si>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</si>
  <si>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</si>
  <si>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</si>
  <si>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</si>
  <si>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</si>
  <si>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</si>
  <si>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</si>
  <si>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</si>
  <si>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</si>
  <si>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</si>
  <si>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</si>
  <si>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</si>
  <si>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</si>
  <si>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</si>
  <si>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</si>
  <si>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</si>
  <si>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</si>
  <si>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</si>
  <si>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</si>
  <si>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</si>
  <si>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</si>
  <si>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</si>
  <si>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</si>
  <si>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</si>
  <si>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</si>
  <si>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</si>
  <si>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</si>
  <si>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</si>
  <si>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</si>
  <si>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</si>
  <si>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</si>
  <si>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</si>
  <si>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</si>
  <si>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</si>
  <si>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</si>
  <si>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</si>
  <si>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</si>
  <si>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</si>
  <si>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</si>
  <si>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</si>
  <si>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</si>
  <si>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</si>
  <si>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</si>
  <si>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</si>
  <si>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</si>
  <si>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</si>
  <si>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</si>
  <si>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</si>
  <si>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</si>
  <si>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</si>
  <si>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</si>
  <si>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</si>
  <si>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</si>
  <si>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</si>
  <si>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</si>
  <si>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</si>
  <si>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</si>
  <si>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</si>
  <si>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</si>
  <si>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</si>
  <si>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</si>
  <si>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</si>
  <si>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</si>
  <si>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</si>
  <si>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</si>
  <si>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</si>
  <si>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</si>
  <si>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</si>
  <si>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</si>
  <si>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</si>
  <si>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</si>
  <si>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</si>
  <si>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</si>
  <si>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</si>
  <si>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</si>
  <si>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</si>
  <si>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</si>
  <si>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</si>
  <si>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</si>
  <si>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</si>
  <si>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</si>
  <si>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</si>
  <si>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</si>
  <si>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</si>
  <si>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</si>
  <si>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</si>
  <si>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</si>
  <si>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</si>
  <si>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</si>
  <si>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</si>
  <si>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</si>
  <si>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</si>
  <si>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</si>
  <si>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</si>
  <si>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</si>
  <si>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</si>
  <si>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</si>
  <si>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</si>
  <si>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622424199706120057</t>
  </si>
  <si>
    <t>李博</t>
  </si>
  <si>
    <t>1-1-1002</t>
  </si>
  <si>
    <t>25652000000058752285</t>
  </si>
  <si>
    <t>2025-9-1、19</t>
  </si>
  <si>
    <t>不要车位物业费mate手机</t>
  </si>
  <si>
    <t>已申报（直接计收入）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</si>
  <si>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</si>
  <si>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</si>
  <si>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</si>
  <si>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</si>
  <si>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</si>
  <si>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</si>
  <si>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</si>
  <si>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</si>
  <si>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</si>
  <si>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</si>
  <si>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</si>
  <si>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</si>
  <si>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411526199306152322</t>
  </si>
  <si>
    <t>樊攀婷</t>
  </si>
  <si>
    <t>1-2-201</t>
  </si>
  <si>
    <t>25652000000066017588</t>
  </si>
  <si>
    <t>陈江玲</t>
  </si>
  <si>
    <t>411381200305086326</t>
  </si>
  <si>
    <t>单小燕</t>
  </si>
  <si>
    <t>0001190</t>
  </si>
  <si>
    <t>1-2-202</t>
  </si>
  <si>
    <t>25652000000070643203</t>
  </si>
  <si>
    <t>620421199501142550</t>
  </si>
  <si>
    <t>段国政</t>
  </si>
  <si>
    <t>0000977</t>
  </si>
  <si>
    <t>1-2-301</t>
  </si>
  <si>
    <t>25652000000044445588</t>
  </si>
  <si>
    <t>赵禄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</si>
  <si>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</si>
  <si>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</si>
  <si>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</si>
  <si>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</si>
  <si>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</si>
  <si>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</si>
  <si>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</si>
  <si>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</si>
  <si>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</si>
  <si>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</si>
  <si>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</si>
  <si>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</si>
  <si>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</si>
  <si>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</si>
  <si>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</si>
  <si>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</si>
  <si>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2025.6.17
2026-3-30</t>
  </si>
  <si>
    <t>智诚监理626598.6元</t>
  </si>
  <si>
    <t>652801200507267329</t>
  </si>
  <si>
    <t>杜景怡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</si>
  <si>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</si>
  <si>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</si>
  <si>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</si>
  <si>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</si>
  <si>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</si>
  <si>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</si>
  <si>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</si>
  <si>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</si>
  <si>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</si>
  <si>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</si>
  <si>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</si>
  <si>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</si>
  <si>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</si>
  <si>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</si>
  <si>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</si>
  <si>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</si>
  <si>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</si>
  <si>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</si>
  <si>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</si>
  <si>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</si>
  <si>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</si>
  <si>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</si>
  <si>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</si>
  <si>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</si>
  <si>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</si>
  <si>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</si>
  <si>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</si>
  <si>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</si>
  <si>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</si>
  <si>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</si>
  <si>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</si>
  <si>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</si>
  <si>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</si>
  <si>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</si>
  <si>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</si>
  <si>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</si>
  <si>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</si>
  <si>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</si>
  <si>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</si>
  <si>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</si>
  <si>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</si>
  <si>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</si>
  <si>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</si>
  <si>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</si>
  <si>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</si>
  <si>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</si>
  <si>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</si>
  <si>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25652000000084268318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</si>
  <si>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</si>
  <si>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</si>
  <si>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</si>
  <si>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</si>
  <si>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</si>
  <si>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</si>
  <si>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</si>
  <si>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</si>
  <si>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</si>
  <si>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</si>
  <si>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25652000000069473508</t>
  </si>
  <si>
    <t>2025.3.16</t>
  </si>
  <si>
    <t>622424197111065811</t>
  </si>
  <si>
    <t>卢克敬</t>
  </si>
  <si>
    <t>1-2-1001</t>
  </si>
  <si>
    <t>25652000000065969511</t>
  </si>
  <si>
    <t>2025-9-15、24</t>
  </si>
  <si>
    <t>2025-10-13、23</t>
  </si>
  <si>
    <t>已申报203669、10月已开发票全额申报</t>
  </si>
  <si>
    <t>654225199211211814</t>
  </si>
  <si>
    <t>常宏磊</t>
  </si>
  <si>
    <t>1-2-1002</t>
  </si>
  <si>
    <t>25652000000076280178</t>
  </si>
  <si>
    <t>有车位+1年物业费+mate70+送地下室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</si>
  <si>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</si>
  <si>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</si>
  <si>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</si>
  <si>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</si>
  <si>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</si>
  <si>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</si>
  <si>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</si>
  <si>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</si>
  <si>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</si>
  <si>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</si>
  <si>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</si>
  <si>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</si>
  <si>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</si>
  <si>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</si>
  <si>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</si>
  <si>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</si>
  <si>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</si>
  <si>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</si>
  <si>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</si>
  <si>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</si>
  <si>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</si>
  <si>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</si>
  <si>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</si>
  <si>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</si>
  <si>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</si>
  <si>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</si>
  <si>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</si>
  <si>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</si>
  <si>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</si>
  <si>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</si>
  <si>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</si>
  <si>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</si>
  <si>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</si>
  <si>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</si>
  <si>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</si>
  <si>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</si>
  <si>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</si>
  <si>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</si>
  <si>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</si>
  <si>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</si>
  <si>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</si>
  <si>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</si>
  <si>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</si>
  <si>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</si>
  <si>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</si>
  <si>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</si>
  <si>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</si>
  <si>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</si>
  <si>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石战龙</t>
  </si>
  <si>
    <t>0000591</t>
  </si>
  <si>
    <t>1-3-601</t>
  </si>
  <si>
    <t>25652000000047727518</t>
  </si>
  <si>
    <t>2025.3.29</t>
  </si>
  <si>
    <t>2025.6.22</t>
  </si>
  <si>
    <t>622301199805291310</t>
  </si>
  <si>
    <t>周兴超  靳国柱（退）</t>
  </si>
  <si>
    <t>0001176</t>
  </si>
  <si>
    <t>1-3-602</t>
  </si>
  <si>
    <t>25652000000066190569</t>
  </si>
  <si>
    <t>2025.3.25（2025.9.26退）</t>
  </si>
  <si>
    <t>2025-9-15、29</t>
  </si>
  <si>
    <t>已申报（直接计收入）靳国柱申报20000开票时已冲减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</si>
  <si>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</si>
  <si>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</si>
  <si>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</si>
  <si>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</si>
  <si>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</si>
  <si>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</si>
  <si>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</si>
  <si>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</si>
  <si>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</si>
  <si>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</si>
  <si>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</si>
  <si>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</si>
  <si>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</si>
  <si>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</si>
  <si>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</si>
  <si>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</si>
  <si>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25652000000058553583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</si>
  <si>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</si>
  <si>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</si>
  <si>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</si>
  <si>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</si>
  <si>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</si>
  <si>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</si>
  <si>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</si>
  <si>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</si>
  <si>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</si>
  <si>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</si>
  <si>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622301200011222810</t>
  </si>
  <si>
    <t>徐志翔</t>
  </si>
  <si>
    <t>0001166</t>
  </si>
  <si>
    <t>1-3-901</t>
  </si>
  <si>
    <t>25652000000066188960</t>
  </si>
  <si>
    <t>2025.8.23</t>
  </si>
  <si>
    <t>62042219971226081X</t>
  </si>
  <si>
    <t>李鸿飞</t>
  </si>
  <si>
    <t>0001146</t>
  </si>
  <si>
    <t>1-3-902</t>
  </si>
  <si>
    <t>25652000000046211643</t>
  </si>
  <si>
    <t>2025.6.29</t>
  </si>
  <si>
    <t>2025.07.21</t>
  </si>
  <si>
    <t>652301197707110826</t>
  </si>
  <si>
    <t>徐超、武跃伟</t>
  </si>
  <si>
    <t>1-3-1001</t>
  </si>
  <si>
    <t>25652000000069419732</t>
  </si>
  <si>
    <t>2025-9-22、27</t>
  </si>
  <si>
    <t>抵巩红卫755598</t>
  </si>
  <si>
    <t>652826199603272015</t>
  </si>
  <si>
    <t>纪忠来</t>
  </si>
  <si>
    <t>1-3-1002</t>
  </si>
  <si>
    <t>26652000000034010641</t>
  </si>
  <si>
    <t>2025.12.6</t>
  </si>
  <si>
    <t>41272419980510296X</t>
  </si>
  <si>
    <t>黄珍珍</t>
  </si>
  <si>
    <t>1-3-1101</t>
  </si>
  <si>
    <t>25652000000044379951</t>
  </si>
  <si>
    <t>2025.1.9</t>
  </si>
  <si>
    <t>抵账杜884011</t>
  </si>
  <si>
    <t>652801199409283725</t>
  </si>
  <si>
    <t>王潇逸</t>
  </si>
  <si>
    <t>1-3-1102</t>
  </si>
  <si>
    <t>26652000000305760181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</si>
  <si>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</si>
  <si>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</si>
  <si>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</si>
  <si>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</si>
  <si>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</si>
  <si>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</si>
  <si>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</si>
  <si>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</si>
  <si>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</si>
  <si>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</si>
  <si>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</si>
  <si>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</si>
  <si>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2-负1-110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</si>
  <si>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</si>
  <si>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</si>
  <si>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</si>
  <si>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</si>
  <si>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</si>
  <si>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</si>
  <si>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</si>
  <si>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</si>
  <si>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</si>
  <si>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</si>
  <si>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</si>
  <si>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</si>
  <si>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</si>
  <si>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</si>
  <si>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</si>
  <si>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</si>
  <si>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</si>
  <si>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</si>
  <si>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</si>
  <si>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</si>
  <si>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</si>
  <si>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</si>
  <si>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25652000000087463806</t>
  </si>
  <si>
    <t>12月开票已申报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</si>
  <si>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</si>
  <si>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</si>
  <si>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</si>
  <si>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</si>
  <si>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</si>
  <si>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</si>
  <si>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</si>
  <si>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</si>
  <si>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</si>
  <si>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</si>
  <si>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</si>
  <si>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</si>
  <si>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</si>
  <si>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</si>
  <si>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</si>
  <si>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</si>
  <si>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</si>
  <si>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</si>
  <si>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</si>
  <si>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</si>
  <si>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</si>
  <si>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</si>
  <si>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</si>
  <si>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</si>
  <si>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</si>
  <si>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</si>
  <si>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</si>
  <si>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</si>
  <si>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</si>
  <si>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</si>
  <si>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</si>
  <si>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</si>
  <si>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</si>
  <si>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</si>
  <si>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</si>
  <si>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</si>
  <si>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</si>
  <si>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</si>
  <si>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</si>
  <si>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</si>
  <si>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</si>
  <si>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</si>
  <si>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</si>
  <si>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</si>
  <si>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</si>
  <si>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</si>
  <si>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</si>
  <si>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</si>
  <si>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</si>
  <si>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</si>
  <si>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</si>
  <si>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</si>
  <si>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</si>
  <si>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</si>
  <si>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</si>
  <si>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</si>
  <si>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</si>
  <si>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</si>
  <si>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</si>
  <si>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</si>
  <si>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</si>
  <si>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</si>
  <si>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</si>
  <si>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</si>
  <si>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</si>
  <si>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</si>
  <si>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</si>
  <si>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</si>
  <si>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</si>
  <si>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</si>
  <si>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</si>
  <si>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</si>
  <si>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</si>
  <si>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</si>
  <si>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</si>
  <si>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</si>
  <si>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</si>
  <si>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</si>
  <si>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</si>
  <si>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</si>
  <si>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</si>
  <si>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</si>
  <si>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</si>
  <si>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</si>
  <si>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</si>
  <si>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</si>
  <si>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</si>
  <si>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</si>
  <si>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</si>
  <si>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</si>
  <si>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</si>
  <si>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</si>
  <si>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</si>
  <si>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</si>
  <si>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</si>
  <si>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</si>
  <si>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</si>
  <si>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</si>
  <si>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</si>
  <si>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</si>
  <si>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</si>
  <si>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</si>
  <si>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</si>
  <si>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</si>
  <si>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</si>
  <si>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</si>
  <si>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2-1-702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</si>
  <si>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</si>
  <si>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</si>
  <si>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</si>
  <si>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</si>
  <si>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</si>
  <si>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</si>
  <si>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</si>
  <si>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</si>
  <si>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</si>
  <si>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</si>
  <si>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</si>
  <si>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</si>
  <si>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</si>
  <si>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</si>
  <si>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</si>
  <si>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</si>
  <si>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</si>
  <si>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</si>
  <si>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</si>
  <si>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</si>
  <si>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</si>
  <si>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</si>
  <si>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</si>
  <si>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</si>
  <si>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</si>
  <si>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</si>
  <si>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</si>
  <si>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</si>
  <si>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</si>
  <si>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</si>
  <si>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</si>
  <si>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</si>
  <si>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</si>
  <si>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</si>
  <si>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</si>
  <si>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</si>
  <si>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</si>
  <si>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</si>
  <si>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</si>
  <si>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</si>
  <si>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</si>
  <si>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</si>
  <si>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</si>
  <si>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</si>
  <si>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</si>
  <si>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</si>
  <si>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</si>
  <si>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</si>
  <si>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</si>
  <si>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</si>
  <si>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</si>
  <si>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</si>
  <si>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</si>
  <si>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</si>
  <si>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</si>
  <si>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</si>
  <si>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</si>
  <si>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</si>
  <si>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</si>
  <si>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</si>
  <si>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</si>
  <si>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</si>
  <si>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</si>
  <si>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</si>
  <si>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</si>
  <si>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</si>
  <si>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</si>
  <si>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</si>
  <si>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</si>
  <si>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</si>
  <si>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</si>
  <si>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</si>
  <si>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</si>
  <si>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</si>
  <si>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</si>
  <si>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</si>
  <si>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</si>
  <si>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</si>
  <si>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</si>
  <si>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</si>
  <si>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</si>
  <si>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</si>
  <si>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</si>
  <si>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</si>
  <si>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</si>
  <si>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</si>
  <si>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</si>
  <si>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</si>
  <si>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</si>
  <si>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</si>
  <si>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</si>
  <si>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</si>
  <si>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</si>
  <si>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</si>
  <si>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</si>
  <si>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</si>
  <si>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</si>
  <si>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</si>
  <si>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</si>
  <si>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</si>
  <si>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</si>
  <si>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</si>
  <si>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</si>
  <si>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</si>
  <si>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</si>
  <si>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</si>
  <si>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</si>
  <si>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</si>
  <si>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</si>
  <si>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</si>
  <si>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</si>
  <si>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</si>
  <si>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</si>
  <si>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</si>
  <si>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</si>
  <si>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</si>
  <si>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</si>
  <si>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</si>
  <si>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</si>
  <si>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</si>
  <si>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</si>
  <si>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</si>
  <si>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</si>
  <si>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</si>
  <si>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</si>
  <si>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</si>
  <si>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</si>
  <si>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</si>
  <si>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</si>
  <si>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</si>
  <si>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</si>
  <si>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</si>
  <si>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</si>
  <si>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</si>
  <si>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</si>
  <si>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</si>
  <si>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</si>
  <si>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</si>
  <si>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</si>
  <si>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</si>
  <si>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91652826MA78B36Y1A</t>
  </si>
  <si>
    <t xml:space="preserve"> 巴州合邦建材有限公司 戴惠琳退</t>
  </si>
  <si>
    <t>2-1-1502</t>
  </si>
  <si>
    <t>25652000000086258955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</si>
  <si>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</si>
  <si>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</si>
  <si>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</si>
  <si>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</si>
  <si>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</si>
  <si>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</si>
  <si>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</si>
  <si>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</si>
  <si>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</si>
  <si>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</si>
  <si>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</si>
  <si>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</si>
  <si>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</si>
  <si>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</si>
  <si>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</si>
  <si>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</si>
  <si>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</si>
  <si>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</si>
  <si>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</si>
  <si>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</si>
  <si>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</si>
  <si>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</si>
  <si>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</si>
  <si>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</si>
  <si>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</si>
  <si>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</si>
  <si>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</si>
  <si>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</si>
  <si>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</si>
  <si>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</si>
  <si>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</si>
  <si>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</si>
  <si>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</si>
  <si>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</si>
  <si>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</si>
  <si>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</si>
  <si>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</si>
  <si>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</si>
  <si>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</si>
  <si>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</si>
  <si>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</si>
  <si>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</si>
  <si>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</si>
  <si>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</si>
  <si>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</si>
  <si>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</si>
  <si>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</si>
  <si>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</si>
  <si>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</si>
  <si>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25652000000078717187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</si>
  <si>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</si>
  <si>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</si>
  <si>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</si>
  <si>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</si>
  <si>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</si>
  <si>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</si>
  <si>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</si>
  <si>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</si>
  <si>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</si>
  <si>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</si>
  <si>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</si>
  <si>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</si>
  <si>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</si>
  <si>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</si>
  <si>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</si>
  <si>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</si>
  <si>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</si>
  <si>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</si>
  <si>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</si>
  <si>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</si>
  <si>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</si>
  <si>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</si>
  <si>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</si>
  <si>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</si>
  <si>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</si>
  <si>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</si>
  <si>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</si>
  <si>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</si>
  <si>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</si>
  <si>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</si>
  <si>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</si>
  <si>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</si>
  <si>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</si>
  <si>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</si>
  <si>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</si>
  <si>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</si>
  <si>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</si>
  <si>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</si>
  <si>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</si>
  <si>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</si>
  <si>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</si>
  <si>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</si>
  <si>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</si>
  <si>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</si>
  <si>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</si>
  <si>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</si>
  <si>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</si>
  <si>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</si>
  <si>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</si>
  <si>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</si>
  <si>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</si>
  <si>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</si>
  <si>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</si>
  <si>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</si>
  <si>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</si>
  <si>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</si>
  <si>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</si>
  <si>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</si>
  <si>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</si>
  <si>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</si>
  <si>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</si>
  <si>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</si>
  <si>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</si>
  <si>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</si>
  <si>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</si>
  <si>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</si>
  <si>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</si>
  <si>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</si>
  <si>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</si>
  <si>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</si>
  <si>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</si>
  <si>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</si>
  <si>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</si>
  <si>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</si>
  <si>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</si>
  <si>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</si>
  <si>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</si>
  <si>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</si>
  <si>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</si>
  <si>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</si>
  <si>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</si>
  <si>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</si>
  <si>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</si>
  <si>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</si>
  <si>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</si>
  <si>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</si>
  <si>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</si>
  <si>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</si>
  <si>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</si>
  <si>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</si>
  <si>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</si>
  <si>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</si>
  <si>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</si>
  <si>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</si>
  <si>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</si>
  <si>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</si>
  <si>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</si>
  <si>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</si>
  <si>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</si>
  <si>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</si>
  <si>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</si>
  <si>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</si>
  <si>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</si>
  <si>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</si>
  <si>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</si>
  <si>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</si>
  <si>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</si>
  <si>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</si>
  <si>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</si>
  <si>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</si>
  <si>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</si>
  <si>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</si>
  <si>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</si>
  <si>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</si>
  <si>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</si>
  <si>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</si>
  <si>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</si>
  <si>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</si>
  <si>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</si>
  <si>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</si>
  <si>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</si>
  <si>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</si>
  <si>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</si>
  <si>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</si>
  <si>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</si>
  <si>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</si>
  <si>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</si>
  <si>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</si>
  <si>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</si>
  <si>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</si>
  <si>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</si>
  <si>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</si>
  <si>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</si>
  <si>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</si>
  <si>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</si>
  <si>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</si>
  <si>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</si>
  <si>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</si>
  <si>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</si>
  <si>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</si>
  <si>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</si>
  <si>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</si>
  <si>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</si>
  <si>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</si>
  <si>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</si>
  <si>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</si>
  <si>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</si>
  <si>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</si>
  <si>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</si>
  <si>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</si>
  <si>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</si>
  <si>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</si>
  <si>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</si>
  <si>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</si>
  <si>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</si>
  <si>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</si>
  <si>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</si>
  <si>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</si>
  <si>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</si>
  <si>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</si>
  <si>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</si>
  <si>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</si>
  <si>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</si>
  <si>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</si>
  <si>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</si>
  <si>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</si>
  <si>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</si>
  <si>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</si>
  <si>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</si>
  <si>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</si>
  <si>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</si>
  <si>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</si>
  <si>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</si>
  <si>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</si>
  <si>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</si>
  <si>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</si>
  <si>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</si>
  <si>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</si>
  <si>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</si>
  <si>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</si>
  <si>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</si>
  <si>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</si>
  <si>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</si>
  <si>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</si>
  <si>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</si>
  <si>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</si>
  <si>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</si>
  <si>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</si>
  <si>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</si>
  <si>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</si>
  <si>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</si>
  <si>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</si>
  <si>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</si>
  <si>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</si>
  <si>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</si>
  <si>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 xml:space="preserve"> 巴州合邦建材有限公司</t>
  </si>
  <si>
    <t>2-2-1502</t>
  </si>
  <si>
    <t>25652000000086259045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</si>
  <si>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</si>
  <si>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</si>
  <si>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</si>
  <si>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</si>
  <si>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</si>
  <si>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</si>
  <si>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</si>
  <si>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</si>
  <si>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</si>
  <si>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</si>
  <si>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</si>
  <si>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</si>
  <si>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</si>
  <si>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420621199909084239</t>
  </si>
  <si>
    <t>张万阳</t>
  </si>
  <si>
    <t>0001197</t>
  </si>
  <si>
    <t>2-2-1603</t>
  </si>
  <si>
    <t>25652000000081336506</t>
  </si>
  <si>
    <t>11月开票已全额申报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</si>
  <si>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</si>
  <si>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</si>
  <si>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</si>
  <si>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</si>
  <si>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</si>
  <si>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</si>
  <si>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</si>
  <si>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</si>
  <si>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</si>
  <si>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</si>
  <si>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</si>
  <si>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25652000000058493294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</si>
  <si>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</si>
  <si>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</si>
  <si>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</si>
  <si>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</si>
  <si>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</si>
  <si>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</si>
  <si>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</si>
  <si>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</si>
  <si>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</si>
  <si>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</si>
  <si>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</si>
  <si>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</si>
  <si>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</si>
  <si>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</si>
  <si>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</si>
  <si>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</si>
  <si>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</si>
  <si>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</si>
  <si>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</si>
  <si>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</si>
  <si>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</si>
  <si>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</si>
  <si>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</si>
  <si>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</si>
  <si>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</si>
  <si>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</si>
  <si>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</si>
  <si>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</si>
  <si>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65280119930927002X</t>
  </si>
  <si>
    <t>王晶羽</t>
  </si>
  <si>
    <t>2-3-402</t>
  </si>
  <si>
    <t>25652000000058671495</t>
  </si>
  <si>
    <t>2025-9-4、23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</si>
  <si>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</si>
  <si>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</si>
  <si>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</si>
  <si>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</si>
  <si>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</si>
  <si>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</si>
  <si>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</si>
  <si>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</si>
  <si>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</si>
  <si>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</si>
  <si>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</si>
  <si>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652826197402122038</t>
  </si>
  <si>
    <t>马世华</t>
  </si>
  <si>
    <t>2-3-502</t>
  </si>
  <si>
    <t>25652000000076158987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</si>
  <si>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</si>
  <si>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</si>
  <si>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</si>
  <si>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</si>
  <si>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</si>
  <si>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</si>
  <si>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</si>
  <si>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</si>
  <si>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</si>
  <si>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</si>
  <si>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</si>
  <si>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</si>
  <si>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</si>
  <si>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</si>
  <si>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</si>
  <si>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</si>
  <si>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</si>
  <si>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</si>
  <si>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</si>
  <si>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</si>
  <si>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</si>
  <si>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</si>
  <si>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</si>
  <si>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</si>
  <si>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</si>
  <si>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</si>
  <si>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</si>
  <si>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</si>
  <si>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</si>
  <si>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</si>
  <si>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</si>
  <si>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</si>
  <si>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</si>
  <si>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</si>
  <si>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</si>
  <si>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</si>
  <si>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</si>
  <si>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</si>
  <si>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</si>
  <si>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</si>
  <si>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</si>
  <si>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</si>
  <si>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</si>
  <si>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</si>
  <si>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</si>
  <si>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500221199109254568</t>
  </si>
  <si>
    <t>程婷</t>
  </si>
  <si>
    <t>2-3-802</t>
  </si>
  <si>
    <t>25652000000076158594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</si>
  <si>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</si>
  <si>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</si>
  <si>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</si>
  <si>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</si>
  <si>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</si>
  <si>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</si>
  <si>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</si>
  <si>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</si>
  <si>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</si>
  <si>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</si>
  <si>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</si>
  <si>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</si>
  <si>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</si>
  <si>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</si>
  <si>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</si>
  <si>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</si>
  <si>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</si>
  <si>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</si>
  <si>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</si>
  <si>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</si>
  <si>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</si>
  <si>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</si>
  <si>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</si>
  <si>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</si>
  <si>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</si>
  <si>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</si>
  <si>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</si>
  <si>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</si>
  <si>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</si>
  <si>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</si>
  <si>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</si>
  <si>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</si>
  <si>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</si>
  <si>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</si>
  <si>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</si>
  <si>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</si>
  <si>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</si>
  <si>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</si>
  <si>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</si>
  <si>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</si>
  <si>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</si>
  <si>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</si>
  <si>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</si>
  <si>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</si>
  <si>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</si>
  <si>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</si>
  <si>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</si>
  <si>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</si>
  <si>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</si>
  <si>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411627200211306410</t>
  </si>
  <si>
    <t>于喜</t>
  </si>
  <si>
    <t>2-3-1202</t>
  </si>
  <si>
    <t>25652000000073139999</t>
  </si>
  <si>
    <t>已申报494114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</si>
  <si>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</si>
  <si>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</si>
  <si>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</si>
  <si>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</si>
  <si>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</si>
  <si>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</si>
  <si>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</si>
  <si>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</si>
  <si>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</si>
  <si>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</si>
  <si>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620523199710191699</t>
  </si>
  <si>
    <t>杨昌谋</t>
  </si>
  <si>
    <t>2-3-1302</t>
  </si>
  <si>
    <t>破底412844.04</t>
  </si>
  <si>
    <t>26652000000023894281</t>
  </si>
  <si>
    <t>已申报（1月开票)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</si>
  <si>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</si>
  <si>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</si>
  <si>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</si>
  <si>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</si>
  <si>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</si>
  <si>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</si>
  <si>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</si>
  <si>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</si>
  <si>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</si>
  <si>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</si>
  <si>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</si>
  <si>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</si>
  <si>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</si>
  <si>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</si>
  <si>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</si>
  <si>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</si>
  <si>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</si>
  <si>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</si>
  <si>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</si>
  <si>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</si>
  <si>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</si>
  <si>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</si>
  <si>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</si>
  <si>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</si>
  <si>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422822198304082518</t>
  </si>
  <si>
    <t>董仲义</t>
  </si>
  <si>
    <t>2-3-1502</t>
  </si>
  <si>
    <t>25652000000083027909</t>
  </si>
  <si>
    <t>已申报497779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</si>
  <si>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</si>
  <si>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</si>
  <si>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</si>
  <si>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</si>
  <si>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</si>
  <si>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</si>
  <si>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</si>
  <si>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</si>
  <si>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</si>
  <si>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</si>
  <si>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</si>
  <si>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</si>
  <si>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</si>
  <si>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</si>
  <si>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</si>
  <si>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</si>
  <si>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</si>
  <si>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</si>
  <si>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2-3-消防水箱间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</si>
  <si>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</si>
  <si>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</si>
  <si>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</si>
  <si>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</si>
  <si>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</si>
  <si>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</si>
  <si>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</si>
  <si>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</si>
  <si>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</si>
  <si>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</si>
  <si>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</si>
  <si>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</si>
  <si>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</si>
  <si>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</si>
  <si>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</si>
  <si>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</si>
  <si>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</si>
  <si>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</si>
  <si>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</si>
  <si>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</si>
  <si>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</si>
  <si>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</si>
  <si>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</si>
  <si>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</si>
  <si>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</si>
  <si>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</si>
  <si>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</si>
  <si>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</si>
  <si>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</si>
  <si>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</si>
  <si>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</si>
  <si>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</si>
  <si>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</si>
  <si>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</si>
  <si>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</si>
  <si>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</si>
  <si>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</si>
  <si>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</si>
  <si>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</si>
  <si>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</si>
  <si>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</si>
  <si>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</si>
  <si>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</si>
  <si>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</si>
  <si>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</si>
  <si>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</si>
  <si>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</si>
  <si>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</si>
  <si>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</si>
  <si>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</si>
  <si>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</si>
  <si>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</si>
  <si>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</si>
  <si>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</si>
  <si>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</si>
  <si>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</si>
  <si>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</si>
  <si>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</si>
  <si>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</si>
  <si>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</si>
  <si>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</si>
  <si>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</si>
  <si>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</si>
  <si>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</si>
  <si>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</si>
  <si>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</si>
  <si>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</si>
  <si>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</si>
  <si>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</si>
  <si>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</si>
  <si>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</si>
  <si>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</si>
  <si>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</si>
  <si>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</si>
  <si>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</si>
  <si>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</si>
  <si>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</si>
  <si>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</si>
  <si>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</si>
  <si>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</si>
  <si>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</si>
  <si>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</si>
  <si>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</si>
  <si>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</si>
  <si>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</si>
  <si>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</si>
  <si>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</si>
  <si>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</si>
  <si>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</si>
  <si>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</si>
  <si>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</si>
  <si>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</si>
  <si>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</si>
  <si>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</si>
  <si>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</si>
  <si>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</si>
  <si>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</si>
  <si>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</si>
  <si>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</si>
  <si>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</si>
  <si>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</si>
  <si>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</si>
  <si>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</si>
  <si>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</si>
  <si>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</si>
  <si>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</si>
  <si>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</si>
  <si>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</si>
  <si>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</si>
  <si>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</si>
  <si>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</si>
  <si>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</si>
  <si>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</si>
  <si>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</si>
  <si>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</si>
  <si>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</si>
  <si>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</si>
  <si>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</si>
  <si>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</si>
  <si>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</si>
  <si>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</si>
  <si>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</si>
  <si>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</si>
  <si>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</si>
  <si>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</si>
  <si>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</si>
  <si>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</si>
  <si>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</si>
  <si>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</si>
  <si>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</si>
  <si>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</si>
  <si>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</si>
  <si>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</si>
  <si>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</si>
  <si>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</si>
  <si>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</si>
  <si>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</si>
  <si>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</si>
  <si>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</si>
  <si>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</si>
  <si>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</si>
  <si>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</si>
  <si>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</si>
  <si>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</si>
  <si>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</si>
  <si>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</si>
  <si>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</si>
  <si>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</si>
  <si>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</si>
  <si>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</si>
  <si>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</si>
  <si>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</si>
  <si>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</si>
  <si>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</si>
  <si>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</si>
  <si>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</si>
  <si>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</si>
  <si>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</si>
  <si>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</si>
  <si>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</si>
  <si>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</si>
  <si>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</si>
  <si>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</si>
  <si>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</si>
  <si>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</si>
  <si>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</si>
  <si>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</si>
  <si>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</si>
  <si>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</si>
  <si>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</si>
  <si>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</si>
  <si>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</si>
  <si>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</si>
  <si>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</si>
  <si>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</si>
  <si>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</si>
  <si>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</si>
  <si>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</si>
  <si>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</si>
  <si>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</si>
  <si>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</si>
  <si>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</si>
  <si>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</si>
  <si>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</si>
  <si>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</si>
  <si>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</si>
  <si>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</si>
  <si>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</si>
  <si>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</si>
  <si>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</si>
  <si>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</si>
  <si>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</si>
  <si>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</si>
  <si>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</si>
  <si>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</si>
  <si>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</si>
  <si>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</si>
  <si>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</si>
  <si>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</si>
  <si>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</si>
  <si>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</si>
  <si>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</si>
  <si>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</si>
  <si>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</si>
  <si>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</si>
  <si>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</si>
  <si>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</si>
  <si>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</si>
  <si>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</si>
  <si>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</si>
  <si>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</si>
  <si>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</si>
  <si>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</si>
  <si>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</si>
  <si>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</si>
  <si>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</si>
  <si>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</si>
  <si>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</si>
  <si>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</si>
  <si>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</si>
  <si>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</si>
  <si>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</si>
  <si>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</si>
  <si>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</si>
  <si>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</si>
  <si>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</si>
  <si>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</si>
  <si>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</si>
  <si>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</si>
  <si>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</si>
  <si>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</si>
  <si>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</si>
  <si>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</si>
  <si>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</si>
  <si>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</si>
  <si>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</si>
  <si>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</si>
  <si>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</si>
  <si>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</si>
  <si>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</si>
  <si>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</si>
  <si>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</si>
  <si>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</si>
  <si>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</si>
  <si>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</si>
  <si>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</si>
  <si>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</si>
  <si>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</si>
  <si>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</si>
  <si>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</si>
  <si>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</si>
  <si>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</si>
  <si>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</si>
  <si>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</si>
  <si>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</si>
  <si>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</si>
  <si>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</si>
  <si>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</si>
  <si>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</si>
  <si>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</si>
  <si>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</si>
  <si>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</si>
  <si>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</si>
  <si>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</si>
  <si>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</si>
  <si>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</si>
  <si>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</si>
  <si>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</si>
  <si>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</si>
  <si>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</si>
  <si>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</si>
  <si>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</si>
  <si>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</si>
  <si>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</si>
  <si>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</si>
  <si>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</si>
  <si>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</si>
  <si>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</si>
  <si>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</si>
  <si>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</si>
  <si>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</si>
  <si>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</si>
  <si>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</si>
  <si>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</si>
  <si>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</si>
  <si>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</si>
  <si>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</si>
  <si>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</si>
  <si>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</si>
  <si>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</si>
  <si>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</si>
  <si>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</si>
  <si>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</si>
  <si>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</si>
  <si>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</si>
  <si>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</si>
  <si>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</si>
  <si>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</si>
  <si>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</si>
  <si>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</si>
  <si>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</si>
  <si>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</si>
  <si>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</si>
  <si>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</si>
  <si>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</si>
  <si>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</si>
  <si>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</si>
  <si>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</si>
  <si>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</si>
  <si>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</si>
  <si>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</si>
  <si>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</si>
  <si>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</si>
  <si>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</si>
  <si>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</si>
  <si>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</si>
  <si>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620522199203242512</t>
  </si>
  <si>
    <t>李瑞红、李宁宁</t>
  </si>
  <si>
    <t>0001188</t>
  </si>
  <si>
    <t>3-3-202</t>
  </si>
  <si>
    <t>26652000000213618106</t>
  </si>
  <si>
    <t>已申报97000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</si>
  <si>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</si>
  <si>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</si>
  <si>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</si>
  <si>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</si>
  <si>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</si>
  <si>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</si>
  <si>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</si>
  <si>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</si>
  <si>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</si>
  <si>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</si>
  <si>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</si>
  <si>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</si>
  <si>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</si>
  <si>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</si>
  <si>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</si>
  <si>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</si>
  <si>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</si>
  <si>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</si>
  <si>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</si>
  <si>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</si>
  <si>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</si>
  <si>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</si>
  <si>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</si>
  <si>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</si>
  <si>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</si>
  <si>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</si>
  <si>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</si>
  <si>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</si>
  <si>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</si>
  <si>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</si>
  <si>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</si>
  <si>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</si>
  <si>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</si>
  <si>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</si>
  <si>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</si>
  <si>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</si>
  <si>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</si>
  <si>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</si>
  <si>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</si>
  <si>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</si>
  <si>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</si>
  <si>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</si>
  <si>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</si>
  <si>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</si>
  <si>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</si>
  <si>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</si>
  <si>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</si>
  <si>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</si>
  <si>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</si>
  <si>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</si>
  <si>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</si>
  <si>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</si>
  <si>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</si>
  <si>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</si>
  <si>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</si>
  <si>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</si>
  <si>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</si>
  <si>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</si>
  <si>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</si>
  <si>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</si>
  <si>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</si>
  <si>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</si>
  <si>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</si>
  <si>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</si>
  <si>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</si>
  <si>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</si>
  <si>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</si>
  <si>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</si>
  <si>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</si>
  <si>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</si>
  <si>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</si>
  <si>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</si>
  <si>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</si>
  <si>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</si>
  <si>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</si>
  <si>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</si>
  <si>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</si>
  <si>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</si>
  <si>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</si>
  <si>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</si>
  <si>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</si>
  <si>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</si>
  <si>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</si>
  <si>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</si>
  <si>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</si>
  <si>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</si>
  <si>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</si>
  <si>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</si>
  <si>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</si>
  <si>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</si>
  <si>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</si>
  <si>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</si>
  <si>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</si>
  <si>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</si>
  <si>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</si>
  <si>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</si>
  <si>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</si>
  <si>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</si>
  <si>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</si>
  <si>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</si>
  <si>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</si>
  <si>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</si>
  <si>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</si>
  <si>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</si>
  <si>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</si>
  <si>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</si>
  <si>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</si>
  <si>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</si>
  <si>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</si>
  <si>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</si>
  <si>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</si>
  <si>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</si>
  <si>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</si>
  <si>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</si>
  <si>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</si>
  <si>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</si>
  <si>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</si>
  <si>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</si>
  <si>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</si>
  <si>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</si>
  <si>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</si>
  <si>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</si>
  <si>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</si>
  <si>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</si>
  <si>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</si>
  <si>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</si>
  <si>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</si>
  <si>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</si>
  <si>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</si>
  <si>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</si>
  <si>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</si>
  <si>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</si>
  <si>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</si>
  <si>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</si>
  <si>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</si>
  <si>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</si>
  <si>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</si>
  <si>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</si>
  <si>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</si>
  <si>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</si>
  <si>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</si>
  <si>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</si>
  <si>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</si>
  <si>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</si>
  <si>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</si>
  <si>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</si>
  <si>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</si>
  <si>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</si>
  <si>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</si>
  <si>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</si>
  <si>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</si>
  <si>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</si>
  <si>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</si>
  <si>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李鑫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</si>
  <si>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</si>
  <si>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</si>
  <si>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</si>
  <si>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</si>
  <si>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</si>
  <si>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</si>
  <si>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</si>
  <si>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652801198912211636</t>
  </si>
  <si>
    <t>王博 1 成交
马文军退</t>
  </si>
  <si>
    <t>5-1-101</t>
  </si>
  <si>
    <t>25652000000058075760</t>
  </si>
  <si>
    <t>0000306
'0000237</t>
  </si>
  <si>
    <t>王荣
连阵阵</t>
  </si>
  <si>
    <t>13199969910</t>
  </si>
  <si>
    <t>20240002391</t>
  </si>
  <si>
    <t>652801199204071614</t>
  </si>
  <si>
    <t>哈加甫</t>
  </si>
  <si>
    <t>0001104</t>
  </si>
  <si>
    <t>5-1-102</t>
  </si>
  <si>
    <t>25652000000057971933</t>
  </si>
  <si>
    <t>2024.4.26</t>
  </si>
  <si>
    <t>2024.8.11</t>
  </si>
  <si>
    <t>15109962801</t>
  </si>
  <si>
    <t>412724199205247911</t>
  </si>
  <si>
    <t>0000723</t>
  </si>
  <si>
    <t>5-1-201</t>
  </si>
  <si>
    <t>25652000000058072749</t>
  </si>
  <si>
    <t>15276663303</t>
  </si>
  <si>
    <t>20250001642</t>
  </si>
  <si>
    <t xml:space="preserve">65280119960923053X </t>
  </si>
  <si>
    <t>马越</t>
  </si>
  <si>
    <t>0000565</t>
  </si>
  <si>
    <t>5-1-202</t>
  </si>
  <si>
    <t>25652000000058111948</t>
  </si>
  <si>
    <t>2025.3.8</t>
  </si>
  <si>
    <t>17691484000</t>
  </si>
  <si>
    <t>20250000718</t>
  </si>
  <si>
    <t>652801196712041696</t>
  </si>
  <si>
    <t>安尼娃</t>
  </si>
  <si>
    <t>5-1-301</t>
  </si>
  <si>
    <t>25652000000058046116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</si>
  <si>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</si>
  <si>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</si>
  <si>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</si>
  <si>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</si>
  <si>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</si>
  <si>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</si>
  <si>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25652000000057935974</t>
  </si>
  <si>
    <t>15509963727</t>
  </si>
  <si>
    <t>652822198811100568</t>
  </si>
  <si>
    <t>王前丽</t>
  </si>
  <si>
    <t>0000847</t>
  </si>
  <si>
    <t>5-1-401</t>
  </si>
  <si>
    <t>25652000000057946066</t>
  </si>
  <si>
    <t>2025.2.26</t>
  </si>
  <si>
    <t>2025.4.12</t>
  </si>
  <si>
    <t>18963851866</t>
  </si>
  <si>
    <t>652101198812031015</t>
  </si>
  <si>
    <t>0000599</t>
  </si>
  <si>
    <t>5-1-402</t>
  </si>
  <si>
    <t>25652000000057942286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</si>
  <si>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</si>
  <si>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</si>
  <si>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</si>
  <si>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</si>
  <si>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</si>
  <si>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</si>
  <si>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</si>
  <si>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25652000000057923406</t>
  </si>
  <si>
    <t>15770075115</t>
  </si>
  <si>
    <t>652829199301051611</t>
  </si>
  <si>
    <t>巴吐道尔吉</t>
  </si>
  <si>
    <t>5-1-502</t>
  </si>
  <si>
    <t>25652000000058012102</t>
  </si>
  <si>
    <t>13119966664</t>
  </si>
  <si>
    <t>652823199810060016</t>
  </si>
  <si>
    <t>陈浩楠 退
李安格 成交</t>
  </si>
  <si>
    <t>0000567</t>
  </si>
  <si>
    <t>5-1-601</t>
  </si>
  <si>
    <t>25652000000058221359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</si>
  <si>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</si>
  <si>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</si>
  <si>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</si>
  <si>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</si>
  <si>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</si>
  <si>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</si>
  <si>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</si>
  <si>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25652000000058221232</t>
  </si>
  <si>
    <t>17799780828</t>
  </si>
  <si>
    <t>652823198411100047</t>
  </si>
  <si>
    <t>0000558</t>
  </si>
  <si>
    <t>5-1-701</t>
  </si>
  <si>
    <t>25652000000058102048</t>
  </si>
  <si>
    <t>13369968567</t>
  </si>
  <si>
    <t>410526200010279070</t>
  </si>
  <si>
    <t>柴雪龙</t>
  </si>
  <si>
    <t>0000595</t>
  </si>
  <si>
    <t>5-1-702</t>
  </si>
  <si>
    <t>25652000000058006549</t>
  </si>
  <si>
    <t>0000276</t>
  </si>
  <si>
    <t>2024.2.4</t>
  </si>
  <si>
    <t>652801198904270046</t>
  </si>
  <si>
    <t>海晶</t>
  </si>
  <si>
    <t>5-1-801</t>
  </si>
  <si>
    <t>25652000000057986202</t>
  </si>
  <si>
    <t>2023.11.14</t>
  </si>
  <si>
    <t>14709967872</t>
  </si>
  <si>
    <t>150203200004205118</t>
  </si>
  <si>
    <t>董浩宇 成交
李小姚 退</t>
  </si>
  <si>
    <t>5-1-802</t>
  </si>
  <si>
    <t>25652000000058032644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</si>
  <si>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</si>
  <si>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</si>
  <si>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</si>
  <si>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</si>
  <si>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</si>
  <si>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</si>
  <si>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</si>
  <si>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25652000000058067106</t>
  </si>
  <si>
    <t>18139981901</t>
  </si>
  <si>
    <t>652801199601043916</t>
  </si>
  <si>
    <t>王琪翔 成交
邓超超 退</t>
  </si>
  <si>
    <t>0001029</t>
  </si>
  <si>
    <t>5-1-902</t>
  </si>
  <si>
    <t>25652000000060133614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</si>
  <si>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</si>
  <si>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</si>
  <si>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</si>
  <si>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</si>
  <si>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</si>
  <si>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</si>
  <si>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</si>
  <si>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</si>
  <si>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</si>
  <si>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</si>
  <si>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</si>
  <si>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</si>
  <si>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</si>
  <si>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</si>
  <si>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</si>
  <si>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2565200000057989695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</si>
  <si>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</si>
  <si>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</si>
  <si>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</si>
  <si>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</si>
  <si>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</si>
  <si>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</si>
  <si>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</si>
  <si>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25652000000058032174</t>
  </si>
  <si>
    <t>2024.2.8</t>
  </si>
  <si>
    <t>18199963170</t>
  </si>
  <si>
    <t>652801198205241633</t>
  </si>
  <si>
    <t>黄俊</t>
  </si>
  <si>
    <t>5-1-1102</t>
  </si>
  <si>
    <t>25652000000057933269</t>
  </si>
  <si>
    <t>2025.1.4</t>
  </si>
  <si>
    <t>18699681113</t>
  </si>
  <si>
    <t>411527199408021012</t>
  </si>
  <si>
    <t>刘闯</t>
  </si>
  <si>
    <t>0000568</t>
  </si>
  <si>
    <t>5-2-101</t>
  </si>
  <si>
    <t>25652000000058587571</t>
  </si>
  <si>
    <t>18693059098</t>
  </si>
  <si>
    <t>652801199412316110</t>
  </si>
  <si>
    <t>李梦元</t>
  </si>
  <si>
    <t>0000854</t>
  </si>
  <si>
    <t>5-2-102</t>
  </si>
  <si>
    <t>25652000000059052858</t>
  </si>
  <si>
    <t>18690681980</t>
  </si>
  <si>
    <t>622425199908302912</t>
  </si>
  <si>
    <t>车宏伟</t>
  </si>
  <si>
    <t>5-2-201</t>
  </si>
  <si>
    <t>25652000000058558039</t>
  </si>
  <si>
    <t>17590023693</t>
  </si>
  <si>
    <t>652827199211260329</t>
  </si>
  <si>
    <t>冯晓宇</t>
  </si>
  <si>
    <t>5-2-202</t>
  </si>
  <si>
    <t>25652000000058554106</t>
  </si>
  <si>
    <t>15001569464</t>
  </si>
  <si>
    <t>622323198912053434</t>
  </si>
  <si>
    <t>姚国瑾</t>
  </si>
  <si>
    <t>0000615</t>
  </si>
  <si>
    <t>5-2-301</t>
  </si>
  <si>
    <t>25652000000058517970</t>
  </si>
  <si>
    <t>15899033249</t>
  </si>
  <si>
    <t>61032619980818061X</t>
  </si>
  <si>
    <t>刘航</t>
  </si>
  <si>
    <t>0000942</t>
  </si>
  <si>
    <t>5-2-302</t>
  </si>
  <si>
    <t>25652000000058467911</t>
  </si>
  <si>
    <t>2024.6.29</t>
  </si>
  <si>
    <t>2024.7.21</t>
  </si>
  <si>
    <t>15229893729</t>
  </si>
  <si>
    <t>650107198208040018</t>
  </si>
  <si>
    <t>0001025</t>
  </si>
  <si>
    <t>5-2-401</t>
  </si>
  <si>
    <t>25652000000058001672</t>
  </si>
  <si>
    <t>15899013571</t>
  </si>
  <si>
    <t>65280119920508058X</t>
  </si>
  <si>
    <t>张瀚允</t>
  </si>
  <si>
    <t>0000705</t>
  </si>
  <si>
    <t>5-2-402</t>
  </si>
  <si>
    <t>25652000000058447005</t>
  </si>
  <si>
    <t>18699662659</t>
  </si>
  <si>
    <t>410322199812101811</t>
  </si>
  <si>
    <t>曲思昱</t>
  </si>
  <si>
    <t>0000555</t>
  </si>
  <si>
    <t>5-2-501</t>
  </si>
  <si>
    <t>25652000000057927156</t>
  </si>
  <si>
    <t>13592036807</t>
  </si>
  <si>
    <t>20240003720</t>
  </si>
  <si>
    <t>652825199511031215</t>
  </si>
  <si>
    <t>陶旭润</t>
  </si>
  <si>
    <t>0000936</t>
  </si>
  <si>
    <t>5-2-502</t>
  </si>
  <si>
    <t>5652000000057971383</t>
  </si>
  <si>
    <t>2024.6.17</t>
  </si>
  <si>
    <t>18299832635</t>
  </si>
  <si>
    <t>511303198609011395</t>
  </si>
  <si>
    <t>胡晶</t>
  </si>
  <si>
    <t>5-2-601</t>
  </si>
  <si>
    <t>25652000000058475738</t>
  </si>
  <si>
    <t xml:space="preserve">
'0000266</t>
  </si>
  <si>
    <t>20240000509</t>
  </si>
  <si>
    <t>622301199608086051</t>
  </si>
  <si>
    <t>李建杰</t>
  </si>
  <si>
    <t>0000658</t>
  </si>
  <si>
    <t>5-2-602</t>
  </si>
  <si>
    <t>25652000000057996738</t>
  </si>
  <si>
    <t>17709939465</t>
  </si>
  <si>
    <t>20240003565</t>
  </si>
  <si>
    <t>622322199610172217</t>
  </si>
  <si>
    <t>刘英德 成交5.31刷卡
米日古丽·巴热提 退房</t>
  </si>
  <si>
    <t>5-2-701</t>
  </si>
  <si>
    <t>25652000000058445533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</si>
  <si>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</si>
  <si>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</si>
  <si>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</si>
  <si>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</si>
  <si>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</si>
  <si>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</si>
  <si>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</si>
  <si>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25652000000058061308</t>
  </si>
  <si>
    <t>0000298</t>
  </si>
  <si>
    <t>19818330996</t>
  </si>
  <si>
    <t>652823199211173713</t>
  </si>
  <si>
    <t>罗涛（5-2-102已算业绩）</t>
  </si>
  <si>
    <t>5-2-801</t>
  </si>
  <si>
    <t>25652000000058465464</t>
  </si>
  <si>
    <t>18699626730</t>
  </si>
  <si>
    <t>20240004493</t>
  </si>
  <si>
    <t>342401199812226718</t>
  </si>
  <si>
    <t>李志宏
胡宏伟 退</t>
  </si>
  <si>
    <t>0000937</t>
  </si>
  <si>
    <t>5-2-802</t>
  </si>
  <si>
    <t>25652000000058545031</t>
  </si>
  <si>
    <t xml:space="preserve">
'0000296</t>
  </si>
  <si>
    <t>16609961669</t>
  </si>
  <si>
    <t>20240001795</t>
  </si>
  <si>
    <t>622322199509293014</t>
  </si>
  <si>
    <t>甘泽天</t>
  </si>
  <si>
    <t>5-2-901</t>
  </si>
  <si>
    <t>25652000000058534958</t>
  </si>
  <si>
    <t>2024.5.16</t>
  </si>
  <si>
    <t>20240004162</t>
  </si>
  <si>
    <t>652826200112072612</t>
  </si>
  <si>
    <t>白嘉辉
达·阿丽腾 退</t>
  </si>
  <si>
    <t>0000850</t>
  </si>
  <si>
    <t>5-2-902</t>
  </si>
  <si>
    <t>25652000000058102548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</si>
  <si>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</si>
  <si>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</si>
  <si>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</si>
  <si>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</si>
  <si>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</si>
  <si>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</si>
  <si>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</si>
  <si>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25652000000058162310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</si>
  <si>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</si>
  <si>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</si>
  <si>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</si>
  <si>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</si>
  <si>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</si>
  <si>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</si>
  <si>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</si>
  <si>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25652000000058162216</t>
  </si>
  <si>
    <t>2024.9.7</t>
  </si>
  <si>
    <t>18709966520</t>
  </si>
  <si>
    <t>20250000740</t>
  </si>
  <si>
    <t>652823198911280822</t>
  </si>
  <si>
    <t>王晓霞</t>
  </si>
  <si>
    <t>5-2-1101</t>
  </si>
  <si>
    <t>25652000000058201806</t>
  </si>
  <si>
    <t>20250002574</t>
  </si>
  <si>
    <t>652801199910240040</t>
  </si>
  <si>
    <t>陈芯悦、郑风兰</t>
  </si>
  <si>
    <t>0000992</t>
  </si>
  <si>
    <t>5-2-1102</t>
  </si>
  <si>
    <t>25652000000057989428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</si>
  <si>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</si>
  <si>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</si>
  <si>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</si>
  <si>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</si>
  <si>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</si>
  <si>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</si>
  <si>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</si>
  <si>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</si>
  <si>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</si>
  <si>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</si>
  <si>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</si>
  <si>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</si>
  <si>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</si>
  <si>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</si>
  <si>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</si>
  <si>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</si>
  <si>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</si>
  <si>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</si>
  <si>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</si>
  <si>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</si>
  <si>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</si>
  <si>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</si>
  <si>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</si>
  <si>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</si>
  <si>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</si>
  <si>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</si>
  <si>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</si>
  <si>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</si>
  <si>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</si>
  <si>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</si>
  <si>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</si>
  <si>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</si>
  <si>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652201199012070219</t>
  </si>
  <si>
    <t>李鹏飞 金环</t>
  </si>
  <si>
    <t>7-1-201</t>
  </si>
  <si>
    <t>25652000000059043149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</si>
  <si>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</si>
  <si>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</si>
  <si>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</si>
  <si>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</si>
  <si>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</si>
  <si>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</si>
  <si>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</si>
  <si>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</si>
  <si>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</si>
  <si>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</si>
  <si>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</si>
  <si>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</si>
  <si>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</si>
  <si>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</si>
  <si>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</si>
  <si>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</si>
  <si>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</si>
  <si>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</si>
  <si>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</si>
  <si>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</si>
  <si>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</si>
  <si>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</si>
  <si>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</si>
  <si>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</si>
  <si>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</si>
  <si>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</si>
  <si>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</si>
  <si>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</si>
  <si>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</si>
  <si>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</si>
  <si>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</si>
  <si>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</si>
  <si>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</si>
  <si>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</si>
  <si>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</si>
  <si>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</si>
  <si>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</si>
  <si>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</si>
  <si>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</si>
  <si>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</si>
  <si>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</si>
  <si>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</si>
  <si>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</si>
  <si>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</si>
  <si>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</si>
  <si>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</si>
  <si>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</si>
  <si>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</si>
  <si>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</si>
  <si>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</si>
  <si>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</si>
  <si>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</si>
  <si>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</si>
  <si>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</si>
  <si>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</si>
  <si>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</si>
  <si>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</si>
  <si>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</si>
  <si>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</si>
  <si>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</si>
  <si>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</si>
  <si>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</si>
  <si>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</si>
  <si>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</si>
  <si>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</si>
  <si>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</si>
  <si>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</si>
  <si>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</si>
  <si>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</si>
  <si>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</si>
  <si>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</si>
  <si>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</si>
  <si>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</si>
  <si>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</si>
  <si>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</si>
  <si>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</si>
  <si>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</si>
  <si>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</si>
  <si>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</si>
  <si>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</si>
  <si>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</si>
  <si>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</si>
  <si>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</si>
  <si>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</si>
  <si>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</si>
  <si>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</si>
  <si>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</si>
  <si>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</si>
  <si>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</si>
  <si>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</si>
  <si>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</si>
  <si>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</si>
  <si>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</si>
  <si>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</si>
  <si>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</si>
  <si>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</si>
  <si>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</si>
  <si>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</si>
  <si>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</si>
  <si>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</si>
  <si>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</si>
  <si>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</si>
  <si>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</si>
  <si>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</si>
  <si>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</si>
  <si>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</si>
  <si>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</si>
  <si>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</si>
  <si>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</si>
  <si>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</si>
  <si>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</si>
  <si>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</si>
  <si>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</si>
  <si>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</si>
  <si>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</si>
  <si>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</si>
  <si>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</si>
  <si>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</si>
  <si>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</si>
  <si>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</si>
  <si>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</si>
  <si>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</si>
  <si>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</si>
  <si>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</si>
  <si>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</si>
  <si>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</si>
  <si>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</si>
  <si>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</si>
  <si>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</si>
  <si>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</si>
  <si>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</si>
  <si>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</si>
  <si>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</si>
  <si>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</si>
  <si>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</si>
  <si>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</si>
  <si>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</si>
  <si>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</si>
  <si>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</si>
  <si>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</si>
  <si>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</si>
  <si>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</si>
  <si>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</si>
  <si>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</si>
  <si>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</si>
  <si>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</si>
  <si>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</si>
  <si>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</si>
  <si>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</si>
  <si>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</si>
  <si>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</si>
  <si>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</si>
  <si>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</si>
  <si>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</si>
  <si>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</si>
  <si>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</si>
  <si>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</si>
  <si>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</si>
  <si>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</si>
  <si>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</si>
  <si>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</si>
  <si>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</si>
  <si>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</si>
  <si>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</si>
  <si>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</si>
  <si>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</si>
  <si>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</si>
  <si>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</si>
  <si>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</si>
  <si>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</si>
  <si>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</si>
  <si>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</si>
  <si>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</si>
  <si>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</si>
  <si>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</si>
  <si>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</si>
  <si>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</si>
  <si>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</si>
  <si>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</si>
  <si>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</si>
  <si>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</si>
  <si>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</si>
  <si>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</si>
  <si>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</si>
  <si>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25652000000058056750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</si>
  <si>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</si>
  <si>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</si>
  <si>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</si>
  <si>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</si>
  <si>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</si>
  <si>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</si>
  <si>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</si>
  <si>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25652000000058684547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</si>
  <si>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</si>
  <si>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</si>
  <si>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</si>
  <si>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</si>
  <si>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</si>
  <si>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</si>
  <si>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</si>
  <si>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</si>
  <si>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</si>
  <si>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</si>
  <si>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</si>
  <si>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</si>
  <si>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>25652000000057931135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</si>
  <si>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</si>
  <si>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</si>
  <si>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</si>
  <si>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</si>
  <si>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</si>
  <si>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</si>
  <si>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25652000000058631375</t>
  </si>
  <si>
    <t>0000242
0000249</t>
  </si>
  <si>
    <t>肖陶丽
霍红霞</t>
  </si>
  <si>
    <t>15899030101</t>
  </si>
  <si>
    <t>620523199806224694</t>
  </si>
  <si>
    <t>桂鹏军</t>
  </si>
  <si>
    <t>7-2-601</t>
  </si>
  <si>
    <t>25652000000058741277</t>
  </si>
  <si>
    <t>65280119780705163X</t>
  </si>
  <si>
    <t>任在新</t>
  </si>
  <si>
    <t>7-2-602</t>
  </si>
  <si>
    <t>25652000000058711764</t>
  </si>
  <si>
    <t>15899013939</t>
  </si>
  <si>
    <t>650104200104232534</t>
  </si>
  <si>
    <t>马云龙
王娟娟 退</t>
  </si>
  <si>
    <t>7-2-701</t>
  </si>
  <si>
    <t>25652000000058741792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</si>
  <si>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</si>
  <si>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</si>
  <si>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</si>
  <si>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</si>
  <si>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</si>
  <si>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</si>
  <si>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>25652000000058632659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</si>
  <si>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</si>
  <si>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</si>
  <si>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</si>
  <si>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</si>
  <si>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</si>
  <si>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</si>
  <si>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</si>
  <si>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</si>
  <si>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25652000000058007209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</si>
  <si>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</si>
  <si>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</si>
  <si>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</si>
  <si>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</si>
  <si>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</si>
  <si>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</si>
  <si>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</si>
  <si>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25652000000058594024</t>
  </si>
  <si>
    <t>622301198002108290</t>
  </si>
  <si>
    <t>黄国</t>
  </si>
  <si>
    <t>0000509</t>
  </si>
  <si>
    <t>7-2-901</t>
  </si>
  <si>
    <t>25652000000058723254</t>
  </si>
  <si>
    <t>13779649120</t>
  </si>
  <si>
    <t>652801199410256118</t>
  </si>
  <si>
    <t>徐睿捷
张桂芝 退 未影响跳点
刘秀花 退</t>
  </si>
  <si>
    <t>0000874</t>
  </si>
  <si>
    <t>7-2-902</t>
  </si>
  <si>
    <t>25652000000058643176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</si>
  <si>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</si>
  <si>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</si>
  <si>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</si>
  <si>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</si>
  <si>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</si>
  <si>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</si>
  <si>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>25652000000058473958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</si>
  <si>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</si>
  <si>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</si>
  <si>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</si>
  <si>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</si>
  <si>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</si>
  <si>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</si>
  <si>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</si>
  <si>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>25652000000058743259</t>
  </si>
  <si>
    <t xml:space="preserve">
'0000251</t>
  </si>
  <si>
    <t>18399781182</t>
  </si>
  <si>
    <t>652827196704160314</t>
  </si>
  <si>
    <t>肖广斌 肖萧</t>
  </si>
  <si>
    <t>0001000</t>
  </si>
  <si>
    <t>7-2-1101</t>
  </si>
  <si>
    <t>25652000000058614197</t>
  </si>
  <si>
    <t>18139095557</t>
  </si>
  <si>
    <t>62272719860616351X</t>
  </si>
  <si>
    <t>贾龙</t>
  </si>
  <si>
    <t>0000554</t>
  </si>
  <si>
    <t>7-2-1102</t>
  </si>
  <si>
    <t>25652000000058733805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</si>
  <si>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</si>
  <si>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</si>
  <si>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</si>
  <si>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</si>
  <si>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</si>
  <si>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</si>
  <si>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</si>
  <si>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</si>
  <si>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</si>
  <si>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</si>
  <si>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2025.8月佣金</t>
  </si>
  <si>
    <t>2025.9月佣金</t>
  </si>
  <si>
    <t>2025.10月佣金</t>
  </si>
  <si>
    <t>2025.11月佣金</t>
  </si>
  <si>
    <t>2026.1月佣金</t>
  </si>
  <si>
    <t>2026.2月佣金</t>
  </si>
  <si>
    <t>8-负1-01</t>
  </si>
  <si>
    <t>地下人防设施</t>
  </si>
  <si>
    <t>8-负1-02</t>
  </si>
  <si>
    <t>邵明江（退）</t>
  </si>
  <si>
    <t>8-负1-03</t>
  </si>
  <si>
    <t>李鹏</t>
  </si>
  <si>
    <t>8-负1-04</t>
  </si>
  <si>
    <t>8-负1-05</t>
  </si>
  <si>
    <t>8-负1-06</t>
  </si>
  <si>
    <t>周枫</t>
  </si>
  <si>
    <t>8-负1-07</t>
  </si>
  <si>
    <t>马海平</t>
  </si>
  <si>
    <t>8-负1-08</t>
  </si>
  <si>
    <t>8-负1-09</t>
  </si>
  <si>
    <t>陈祖柏</t>
  </si>
  <si>
    <t>8-负1-10</t>
  </si>
  <si>
    <t>沈慧</t>
  </si>
  <si>
    <t>8-负1-11</t>
  </si>
  <si>
    <t>8-负1-12</t>
  </si>
  <si>
    <t>8-负1-13</t>
  </si>
  <si>
    <t>8-负1-14</t>
  </si>
  <si>
    <t>8-负1-15</t>
  </si>
  <si>
    <t>8-负1-16</t>
  </si>
  <si>
    <t>杨华</t>
  </si>
  <si>
    <t>8-负1-17</t>
  </si>
  <si>
    <t>8-负1-18</t>
  </si>
  <si>
    <t>8-负1-19</t>
  </si>
  <si>
    <t>尹桂云</t>
  </si>
  <si>
    <t>8-负1-20</t>
  </si>
  <si>
    <t>32032219691227567X</t>
  </si>
  <si>
    <t>陈爱玲、杨艳梨 成交</t>
  </si>
  <si>
    <t>0000863</t>
  </si>
  <si>
    <t>8-1-101</t>
  </si>
  <si>
    <t>25652000000069545157</t>
  </si>
  <si>
    <t>410181199802267518</t>
  </si>
  <si>
    <t>0000953</t>
  </si>
  <si>
    <t>8-1-102</t>
  </si>
  <si>
    <t>25652000000069504567</t>
  </si>
  <si>
    <t>2024.7.30</t>
  </si>
  <si>
    <t>不要车位，无家装</t>
  </si>
  <si>
    <t>652801199801011118</t>
  </si>
  <si>
    <t>喻强</t>
  </si>
  <si>
    <t>0000962</t>
  </si>
  <si>
    <t>8-1-201</t>
  </si>
  <si>
    <t>25652000000069501311</t>
  </si>
  <si>
    <t>2024.11.10</t>
  </si>
  <si>
    <t>659001199705312415</t>
  </si>
  <si>
    <t>万新辉</t>
  </si>
  <si>
    <t>0000961</t>
  </si>
  <si>
    <t>8-1-202</t>
  </si>
  <si>
    <t>25652000000069459040</t>
  </si>
  <si>
    <t>652822198312080021</t>
  </si>
  <si>
    <t>周小艳
衡澳 要退</t>
  </si>
  <si>
    <t>任成48.8万转</t>
  </si>
  <si>
    <t>8-1-301</t>
  </si>
  <si>
    <t>25652000000069467469</t>
  </si>
  <si>
    <t>霍红霞、王荣</t>
  </si>
  <si>
    <t>622825197604263312</t>
  </si>
  <si>
    <t>李海军</t>
  </si>
  <si>
    <t>0001103</t>
  </si>
  <si>
    <t>8-1-302</t>
  </si>
  <si>
    <t>25652000000069484741</t>
  </si>
  <si>
    <t>411381200007113031</t>
  </si>
  <si>
    <t>赵建设</t>
  </si>
  <si>
    <t>8-1-401</t>
  </si>
  <si>
    <t>25652000000069523232</t>
  </si>
  <si>
    <t>211282199906013016</t>
  </si>
  <si>
    <t>钟正</t>
  </si>
  <si>
    <t>0000868</t>
  </si>
  <si>
    <t>8-1-402</t>
  </si>
  <si>
    <t>25652000000069535376</t>
  </si>
  <si>
    <t>2024.8.23</t>
  </si>
  <si>
    <t>652823199205292214</t>
  </si>
  <si>
    <t>0000851</t>
  </si>
  <si>
    <t>8-1-501</t>
  </si>
  <si>
    <t>2565200000006955594</t>
  </si>
  <si>
    <t>620422197512035117</t>
  </si>
  <si>
    <t>刘冠宇</t>
  </si>
  <si>
    <t>0000890</t>
  </si>
  <si>
    <t>8-1-502</t>
  </si>
  <si>
    <t>25652000000069506659</t>
  </si>
  <si>
    <t>2024.7.4</t>
  </si>
  <si>
    <t>652301198608256410</t>
  </si>
  <si>
    <t>王明利</t>
  </si>
  <si>
    <t>8-1-601</t>
  </si>
  <si>
    <t>25652000000069465289</t>
  </si>
  <si>
    <t>2024.11.9</t>
  </si>
  <si>
    <t>622323198712053149</t>
  </si>
  <si>
    <t>马玲玲</t>
  </si>
  <si>
    <t>0001107</t>
  </si>
  <si>
    <t>8-1-602</t>
  </si>
  <si>
    <t xml:space="preserve">25652000000069518138
</t>
  </si>
  <si>
    <t>411528199804103315</t>
  </si>
  <si>
    <t>姚俊伟</t>
  </si>
  <si>
    <t>8-1-701</t>
  </si>
  <si>
    <t>25652000000069542982</t>
  </si>
  <si>
    <t>500102199703291367</t>
  </si>
  <si>
    <t>周瑶</t>
  </si>
  <si>
    <t>8-1-702</t>
  </si>
  <si>
    <t>25652000000069418592</t>
  </si>
  <si>
    <t>无家装、有车位</t>
  </si>
  <si>
    <t>411503199406183316</t>
  </si>
  <si>
    <t>张明旺</t>
  </si>
  <si>
    <t>0000710</t>
  </si>
  <si>
    <t>8-1-801</t>
  </si>
  <si>
    <t>25652000000069485434</t>
  </si>
  <si>
    <t>610327199901231895</t>
  </si>
  <si>
    <t>张宏博</t>
  </si>
  <si>
    <t>0000853</t>
  </si>
  <si>
    <t>8-1-802</t>
  </si>
  <si>
    <t>25652000000069496056</t>
  </si>
  <si>
    <t>0000556</t>
  </si>
  <si>
    <t>652201199906156513</t>
  </si>
  <si>
    <t>吴金涛</t>
  </si>
  <si>
    <t>0000935</t>
  </si>
  <si>
    <t>8-1-901</t>
  </si>
  <si>
    <t>25652000000069504133</t>
  </si>
  <si>
    <t>有车位无礼品</t>
  </si>
  <si>
    <t>652801198710241618</t>
  </si>
  <si>
    <t>0001102</t>
  </si>
  <si>
    <t>8-1-902</t>
  </si>
  <si>
    <t>25652000000069536140</t>
  </si>
  <si>
    <t>0000552</t>
  </si>
  <si>
    <t>652829199703170015</t>
  </si>
  <si>
    <t>那木巴图</t>
  </si>
  <si>
    <t>0000928</t>
  </si>
  <si>
    <t>8-1-1001</t>
  </si>
  <si>
    <t>25652000000069511482</t>
  </si>
  <si>
    <t>2024.11.8</t>
  </si>
  <si>
    <t>512922197201065726</t>
  </si>
  <si>
    <t>何林华</t>
  </si>
  <si>
    <t>0001110</t>
  </si>
  <si>
    <t>8-1-1002</t>
  </si>
  <si>
    <t>25652000000069554301</t>
  </si>
  <si>
    <t>511025199307058418</t>
  </si>
  <si>
    <t>曾浩</t>
  </si>
  <si>
    <t>0001136</t>
  </si>
  <si>
    <t>8-1-1101</t>
  </si>
  <si>
    <t>25652000000069520435</t>
  </si>
  <si>
    <t>2025.5.28</t>
  </si>
  <si>
    <t>612326199506290014</t>
  </si>
  <si>
    <t>莫枭   张元贺 退</t>
  </si>
  <si>
    <t>0001175</t>
  </si>
  <si>
    <t>8-1-1102</t>
  </si>
  <si>
    <t>25652000000080418362</t>
  </si>
  <si>
    <t>2025-10-4、17</t>
  </si>
  <si>
    <t>已申报20000，10月申报864885</t>
  </si>
  <si>
    <t>650104197711280728</t>
  </si>
  <si>
    <t>王华</t>
  </si>
  <si>
    <t>0000581</t>
  </si>
  <si>
    <t>8-2-101</t>
  </si>
  <si>
    <t>25652000000070162416</t>
  </si>
  <si>
    <t>2025.3.15</t>
  </si>
  <si>
    <t>650104197307230753</t>
  </si>
  <si>
    <t>何自将</t>
  </si>
  <si>
    <t>0000724</t>
  </si>
  <si>
    <t>8-2-102</t>
  </si>
  <si>
    <t>25652000000070484273</t>
  </si>
  <si>
    <t>652801199606101628</t>
  </si>
  <si>
    <t>王晓萱</t>
  </si>
  <si>
    <t>0001128</t>
  </si>
  <si>
    <t>8-2-201</t>
  </si>
  <si>
    <t>25652000000070151353</t>
  </si>
  <si>
    <t>有车位+1年物业费+mate70</t>
  </si>
  <si>
    <t>65280120041230481X</t>
  </si>
  <si>
    <t>李磊</t>
  </si>
  <si>
    <t>8-2-202</t>
  </si>
  <si>
    <t>25652000000070502983</t>
  </si>
  <si>
    <t>652801197706082226</t>
  </si>
  <si>
    <t>张文萍</t>
  </si>
  <si>
    <t>0000927</t>
  </si>
  <si>
    <t>8-2-301</t>
  </si>
  <si>
    <t>25652000000070170220</t>
  </si>
  <si>
    <t>652801198907010514</t>
  </si>
  <si>
    <t>吕超</t>
  </si>
  <si>
    <t>8-2-302</t>
  </si>
  <si>
    <t>25652000000070464409</t>
  </si>
  <si>
    <t>送冰箱</t>
  </si>
  <si>
    <t>130184199210265721</t>
  </si>
  <si>
    <t>底孟孟</t>
  </si>
  <si>
    <t>0000996</t>
  </si>
  <si>
    <t>8-2-401</t>
  </si>
  <si>
    <t>25652000000070153139</t>
  </si>
  <si>
    <t>320321200601230215</t>
  </si>
  <si>
    <t>8-2-402</t>
  </si>
  <si>
    <t>25652000000070181191</t>
  </si>
  <si>
    <t>2024.10.13</t>
  </si>
  <si>
    <t>620523199702013796</t>
  </si>
  <si>
    <t>谢斌</t>
  </si>
  <si>
    <t>0000869</t>
  </si>
  <si>
    <t>8-2-501</t>
  </si>
  <si>
    <t>25652000000070142184</t>
  </si>
  <si>
    <t>622301200011213316</t>
  </si>
  <si>
    <t>严海云</t>
  </si>
  <si>
    <t>0001109</t>
  </si>
  <si>
    <t>8-2-502</t>
  </si>
  <si>
    <t>25652000000070124807</t>
  </si>
  <si>
    <t>2024.10.16</t>
  </si>
  <si>
    <t>652801196807021620</t>
  </si>
  <si>
    <t>8-2-601</t>
  </si>
  <si>
    <t>25652000000070131112</t>
  </si>
  <si>
    <t>2024-9-10
2024.12.16</t>
  </si>
  <si>
    <t>622727199705102629</t>
  </si>
  <si>
    <t>李互生</t>
  </si>
  <si>
    <t>8-2-602</t>
  </si>
  <si>
    <t>25652000000070183223</t>
  </si>
  <si>
    <t>2024.7.17</t>
  </si>
  <si>
    <t>不要车位无家装送冰箱</t>
  </si>
  <si>
    <t>652801196810200064</t>
  </si>
  <si>
    <t>8-2-701</t>
  </si>
  <si>
    <t>25652000000070180428</t>
  </si>
  <si>
    <t>320322199002164026</t>
  </si>
  <si>
    <t>周真真</t>
  </si>
  <si>
    <t>0000933</t>
  </si>
  <si>
    <t>8-2-702</t>
  </si>
  <si>
    <t xml:space="preserve">25652000000070182514
</t>
  </si>
  <si>
    <t>没有家装大礼包</t>
  </si>
  <si>
    <t>62232619961220373X</t>
  </si>
  <si>
    <t>韩磊</t>
  </si>
  <si>
    <t>0000901</t>
  </si>
  <si>
    <t>8-2-801</t>
  </si>
  <si>
    <t>25652000000070152155</t>
  </si>
  <si>
    <t>2024.8.7</t>
  </si>
  <si>
    <t>320321198210303026</t>
  </si>
  <si>
    <t>刘美丽</t>
  </si>
  <si>
    <t>0000698</t>
  </si>
  <si>
    <t>8-2-802</t>
  </si>
  <si>
    <t>25652000000070141381</t>
  </si>
  <si>
    <t>511381200201051552</t>
  </si>
  <si>
    <t>涂建伟</t>
  </si>
  <si>
    <t>8-2-901</t>
  </si>
  <si>
    <t>25652000000070163608</t>
  </si>
  <si>
    <t>412724198606296429</t>
  </si>
  <si>
    <t>任风丽</t>
  </si>
  <si>
    <t>0000926</t>
  </si>
  <si>
    <t>8-2-902</t>
  </si>
  <si>
    <t>25652000000070487777</t>
  </si>
  <si>
    <t>622323200009247216</t>
  </si>
  <si>
    <t>0000978</t>
  </si>
  <si>
    <t>8-2-1001</t>
  </si>
  <si>
    <t>25652000000070142959</t>
  </si>
  <si>
    <t>412726199403135868</t>
  </si>
  <si>
    <t>赵伶俐</t>
  </si>
  <si>
    <t>0001007</t>
  </si>
  <si>
    <t>8-2-1002</t>
  </si>
  <si>
    <t>25652000000070114395</t>
  </si>
  <si>
    <t>8-2-1101</t>
  </si>
  <si>
    <t>8-2-1102</t>
  </si>
  <si>
    <t>650104198012290817</t>
  </si>
  <si>
    <t>刘远征 刘春梅</t>
  </si>
  <si>
    <t>8-3-101</t>
  </si>
  <si>
    <t>25652000000070541048</t>
  </si>
  <si>
    <t>2025.2.23</t>
  </si>
  <si>
    <t>8-3-102</t>
  </si>
  <si>
    <t>652801199806171612</t>
  </si>
  <si>
    <t>白国剑</t>
  </si>
  <si>
    <t>0001208</t>
  </si>
  <si>
    <t>8-3-201</t>
  </si>
  <si>
    <t>26652000000040911826</t>
  </si>
  <si>
    <t>652801199509180029</t>
  </si>
  <si>
    <t>顾玥</t>
  </si>
  <si>
    <t>0001229</t>
  </si>
  <si>
    <t>8-3-202</t>
  </si>
  <si>
    <t>破底</t>
  </si>
  <si>
    <t>2026-3-28、31</t>
  </si>
  <si>
    <t>白一迭</t>
  </si>
  <si>
    <t>已申报220000</t>
  </si>
  <si>
    <t>142729198504114213</t>
  </si>
  <si>
    <t>孙帅</t>
  </si>
  <si>
    <t>0000736</t>
  </si>
  <si>
    <t>8-3-301</t>
  </si>
  <si>
    <t>25652000000070640101</t>
  </si>
  <si>
    <t>1年物业费</t>
  </si>
  <si>
    <t>622723200108123819</t>
  </si>
  <si>
    <t>郭忆凡</t>
  </si>
  <si>
    <t>0001116</t>
  </si>
  <si>
    <t>8-3-302</t>
  </si>
  <si>
    <t>25652000000070479649</t>
  </si>
  <si>
    <t>2025.4.30</t>
  </si>
  <si>
    <t>622722199705050011</t>
  </si>
  <si>
    <t>史海龙</t>
  </si>
  <si>
    <t>8-3-401</t>
  </si>
  <si>
    <t>25652000000070518055</t>
  </si>
  <si>
    <t>2025.2.13</t>
  </si>
  <si>
    <t>2025.3.28</t>
  </si>
  <si>
    <t>411322200010045711</t>
  </si>
  <si>
    <t>王恒  邵明江（退）</t>
  </si>
  <si>
    <t>0000594</t>
  </si>
  <si>
    <t>8-3-402</t>
  </si>
  <si>
    <t>25652000000078706168</t>
  </si>
  <si>
    <t>65282919771223152X</t>
  </si>
  <si>
    <t>宏格尔</t>
  </si>
  <si>
    <t>0000904</t>
  </si>
  <si>
    <t>8-3-501</t>
  </si>
  <si>
    <t>25652000000070478465</t>
  </si>
  <si>
    <t>无家装送冰箱</t>
  </si>
  <si>
    <t>652829199402100339</t>
  </si>
  <si>
    <t>常权</t>
  </si>
  <si>
    <t>8-3-502</t>
  </si>
  <si>
    <t>25652000000070537165</t>
  </si>
  <si>
    <t>511621200208196180</t>
  </si>
  <si>
    <t>吕双菊、文思宇、文杰</t>
  </si>
  <si>
    <t>0000745</t>
  </si>
  <si>
    <t>8-3-601</t>
  </si>
  <si>
    <t>25652000000070569427</t>
  </si>
  <si>
    <t>62242619891225314X</t>
  </si>
  <si>
    <t>田雪莉</t>
  </si>
  <si>
    <t>0000728</t>
  </si>
  <si>
    <t>8-3-602</t>
  </si>
  <si>
    <t xml:space="preserve">25652000000070478675
</t>
  </si>
  <si>
    <t>220702200103041218</t>
  </si>
  <si>
    <t>刘然</t>
  </si>
  <si>
    <t>8-3-701</t>
  </si>
  <si>
    <t xml:space="preserve">25652000000070630458
</t>
  </si>
  <si>
    <t>612324199511050039</t>
  </si>
  <si>
    <t>0001009</t>
  </si>
  <si>
    <t>8-3-702</t>
  </si>
  <si>
    <t>25652000000070606765</t>
  </si>
  <si>
    <t>622226197310300513</t>
  </si>
  <si>
    <t>杨俊涛</t>
  </si>
  <si>
    <t>8-3-801</t>
  </si>
  <si>
    <t>25652000000070579489</t>
  </si>
  <si>
    <t>659001199007203625</t>
  </si>
  <si>
    <t>李欣晏</t>
  </si>
  <si>
    <t>0001004</t>
  </si>
  <si>
    <t>8-3-802</t>
  </si>
  <si>
    <t xml:space="preserve">25652000000070499452
</t>
  </si>
  <si>
    <t>410425199511206016</t>
  </si>
  <si>
    <t>程文豪</t>
  </si>
  <si>
    <t>8-3-901</t>
  </si>
  <si>
    <t>25652000000070536924</t>
  </si>
  <si>
    <t>650104197504243334</t>
  </si>
  <si>
    <t>石海江</t>
  </si>
  <si>
    <t>8-3-902</t>
  </si>
  <si>
    <t>25652000000070536295</t>
  </si>
  <si>
    <t>65282619820626202X</t>
  </si>
  <si>
    <t>巴地曼</t>
  </si>
  <si>
    <t>8-3-1001</t>
  </si>
  <si>
    <t>25652000000070559070</t>
  </si>
  <si>
    <t>2025.1.12</t>
  </si>
  <si>
    <t>652801199102176116</t>
  </si>
  <si>
    <t>艾克白尔·热合曼</t>
  </si>
  <si>
    <t>8-3-1002</t>
  </si>
  <si>
    <t>25652000000070528417</t>
  </si>
  <si>
    <t>2024.2.13</t>
  </si>
  <si>
    <t>有车位+2年物业费+华为三件套</t>
  </si>
  <si>
    <t>652827198805261615</t>
  </si>
  <si>
    <t>李龙</t>
  </si>
  <si>
    <t>0001005</t>
  </si>
  <si>
    <t>8-3-1101</t>
  </si>
  <si>
    <t>25652000000070507704</t>
  </si>
  <si>
    <t>2025.5.14</t>
  </si>
  <si>
    <t>有车位5年物业费</t>
  </si>
  <si>
    <t>8-3-1102</t>
  </si>
  <si>
    <t>会费</t>
  </si>
  <si>
    <t>144以下会费转预收</t>
  </si>
  <si>
    <t>2025.12月佣金</t>
  </si>
  <si>
    <t>2026.3月佣金</t>
  </si>
  <si>
    <t>需退回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</si>
  <si>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</si>
  <si>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</si>
  <si>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</si>
  <si>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</si>
  <si>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</si>
  <si>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</si>
  <si>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</si>
  <si>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</si>
  <si>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</si>
  <si>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</si>
  <si>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</si>
  <si>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</si>
  <si>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</si>
  <si>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</si>
  <si>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</si>
  <si>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许振双</t>
  </si>
  <si>
    <t>4-1-101</t>
  </si>
  <si>
    <t>4-1-102</t>
  </si>
  <si>
    <t>4-1-201</t>
  </si>
  <si>
    <t>4-1-202</t>
  </si>
  <si>
    <t>622301200103188656</t>
  </si>
  <si>
    <t>王维鹏、黄文慧</t>
  </si>
  <si>
    <t>0001145</t>
  </si>
  <si>
    <t>4-1-301</t>
  </si>
  <si>
    <t>2025.6.28</t>
  </si>
  <si>
    <t>有车位 送地下室</t>
  </si>
  <si>
    <t>652801200302191615</t>
  </si>
  <si>
    <t>赵峥宇</t>
  </si>
  <si>
    <t>4-1-302</t>
  </si>
  <si>
    <t>411723199706063515</t>
  </si>
  <si>
    <t>李凯</t>
  </si>
  <si>
    <t>0001141</t>
  </si>
  <si>
    <t>4-1-401</t>
  </si>
  <si>
    <t>2025.7.26</t>
  </si>
  <si>
    <t>654223200004061211</t>
  </si>
  <si>
    <t>窦鸿楠</t>
  </si>
  <si>
    <t>4-1-402</t>
  </si>
  <si>
    <t>410423197602221041</t>
  </si>
  <si>
    <t>齐杏丽</t>
  </si>
  <si>
    <t>4-1-501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</si>
  <si>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</si>
  <si>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</si>
  <si>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</si>
  <si>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</si>
  <si>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</si>
  <si>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</si>
  <si>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</si>
  <si>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</si>
  <si>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652924199711160515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</si>
  <si>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</si>
  <si>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</si>
  <si>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</si>
  <si>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</si>
  <si>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</si>
  <si>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</si>
  <si>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</si>
  <si>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</si>
  <si>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</si>
  <si>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</si>
  <si>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2025.7.30</t>
  </si>
  <si>
    <t>320322199907313612</t>
  </si>
  <si>
    <t>武伟东</t>
  </si>
  <si>
    <t>4-1-801</t>
  </si>
  <si>
    <t>2025.2.28</t>
  </si>
  <si>
    <t>65280119860319502X</t>
  </si>
  <si>
    <t>杜珍珍、杨国华</t>
  </si>
  <si>
    <t>0001178</t>
  </si>
  <si>
    <t>4-1-802</t>
  </si>
  <si>
    <t>吴传飞</t>
  </si>
  <si>
    <t>不要机械车位</t>
  </si>
  <si>
    <t>140603199904220553</t>
  </si>
  <si>
    <t>张世伟</t>
  </si>
  <si>
    <t>0000587</t>
  </si>
  <si>
    <t>4-1-901</t>
  </si>
  <si>
    <t>622323200103266819</t>
  </si>
  <si>
    <t>徐德亨</t>
  </si>
  <si>
    <t>4-1-902</t>
  </si>
  <si>
    <t>2025-9-12、26</t>
  </si>
  <si>
    <t>不要车位送地下室</t>
  </si>
  <si>
    <t>140581200104195838</t>
  </si>
  <si>
    <t>李国豪</t>
  </si>
  <si>
    <t>0001138</t>
  </si>
  <si>
    <t>4-1-1001</t>
  </si>
  <si>
    <t>620422200111014010</t>
  </si>
  <si>
    <t>陈鑫</t>
  </si>
  <si>
    <t>0001139</t>
  </si>
  <si>
    <t>4-1-1002</t>
  </si>
  <si>
    <t>2025.6.10</t>
  </si>
  <si>
    <t>4-1-1101</t>
  </si>
  <si>
    <t>4-1-1102</t>
  </si>
  <si>
    <t>党瞾</t>
  </si>
  <si>
    <t>4-2-101</t>
  </si>
  <si>
    <t>4-2-102</t>
  </si>
  <si>
    <t>4-2-201</t>
  </si>
  <si>
    <t>4-2-202</t>
  </si>
  <si>
    <t>622323199212162431</t>
  </si>
  <si>
    <t>王金年</t>
  </si>
  <si>
    <t>4-2-301</t>
  </si>
  <si>
    <t>2025.7.8</t>
  </si>
  <si>
    <t>2025.7.23</t>
  </si>
  <si>
    <t>650103198209285513</t>
  </si>
  <si>
    <t>李瑛</t>
  </si>
  <si>
    <t>4-2-302</t>
  </si>
  <si>
    <t>2025.7.28</t>
  </si>
  <si>
    <t>2025.8.12</t>
  </si>
  <si>
    <t>有车位+1年物业费+mate70手机+送地下室</t>
  </si>
  <si>
    <t>622625198312273053</t>
  </si>
  <si>
    <t>苟荣福</t>
  </si>
  <si>
    <t>0001157</t>
  </si>
  <si>
    <t>4-2-401</t>
  </si>
  <si>
    <t>2025.7.13</t>
  </si>
  <si>
    <t>2025.8.1</t>
  </si>
  <si>
    <t>652801202007146116</t>
  </si>
  <si>
    <t>翟嘉晨  翟麦圈（父）</t>
  </si>
  <si>
    <t>0001204</t>
  </si>
  <si>
    <t>4-2-402</t>
  </si>
  <si>
    <t>652829198906130713</t>
  </si>
  <si>
    <t>刘峰、董家丽</t>
  </si>
  <si>
    <t>0001130</t>
  </si>
  <si>
    <t>4-2-501</t>
  </si>
  <si>
    <t>2025.5.13</t>
  </si>
  <si>
    <t>有车位+1年物业费+mate70手机</t>
  </si>
  <si>
    <t>653124197305284262</t>
  </si>
  <si>
    <t>王政</t>
  </si>
  <si>
    <t>0000987</t>
  </si>
  <si>
    <t>4-2-502</t>
  </si>
  <si>
    <t>2025.3.11</t>
  </si>
  <si>
    <t>610323200201151130</t>
  </si>
  <si>
    <t>张卓</t>
  </si>
  <si>
    <t>0001147</t>
  </si>
  <si>
    <t>4-2-601</t>
  </si>
  <si>
    <t>410526199908013476</t>
  </si>
  <si>
    <t>高冰川</t>
  </si>
  <si>
    <t>4-2-602</t>
  </si>
  <si>
    <t>652823200008053316</t>
  </si>
  <si>
    <t>袁宇龙</t>
  </si>
  <si>
    <t>0000970</t>
  </si>
  <si>
    <t>4-2-701</t>
  </si>
  <si>
    <t>411621199911211830</t>
  </si>
  <si>
    <t>杨振军</t>
  </si>
  <si>
    <t>4-2-702</t>
  </si>
  <si>
    <t>659001199803020010</t>
  </si>
  <si>
    <t>孙悦冰</t>
  </si>
  <si>
    <t>4-2-801</t>
  </si>
  <si>
    <t>2025.2.16</t>
  </si>
  <si>
    <t>622323199901232810</t>
  </si>
  <si>
    <t>马建鑫</t>
  </si>
  <si>
    <t>0001181</t>
  </si>
  <si>
    <t>4-2-802</t>
  </si>
  <si>
    <t>2025-9-20、25</t>
  </si>
  <si>
    <t>不要车位mate手机</t>
  </si>
  <si>
    <t>511623199803031791</t>
  </si>
  <si>
    <t>周成江</t>
  </si>
  <si>
    <t>0001182</t>
  </si>
  <si>
    <t>4-2-901</t>
  </si>
  <si>
    <t>232301200005066839</t>
  </si>
  <si>
    <t>刘俊锋</t>
  </si>
  <si>
    <t>4-2-902</t>
  </si>
  <si>
    <t>2025-9-1/26</t>
  </si>
  <si>
    <t>653127200003030156</t>
  </si>
  <si>
    <t>李翼翔</t>
  </si>
  <si>
    <t>4-2-1001</t>
  </si>
  <si>
    <t>2025-10-5、6、24</t>
  </si>
  <si>
    <t>120224200101147518</t>
  </si>
  <si>
    <t>邢建成</t>
  </si>
  <si>
    <t>4-2-1002</t>
  </si>
  <si>
    <t>4-2-1101</t>
  </si>
  <si>
    <t>4-2-1102</t>
  </si>
  <si>
    <t>4-3-101</t>
  </si>
  <si>
    <t>4-3-102</t>
  </si>
  <si>
    <t>4-3-201</t>
  </si>
  <si>
    <t>抵账新疆中洲建设770881</t>
  </si>
  <si>
    <t>4-3-202</t>
  </si>
  <si>
    <t>62052319990928469X</t>
  </si>
  <si>
    <t>李双权</t>
  </si>
  <si>
    <t>0001171</t>
  </si>
  <si>
    <t>4-3-301</t>
  </si>
  <si>
    <t>342224199507181334</t>
  </si>
  <si>
    <t>0001205</t>
  </si>
  <si>
    <t>4-3-302</t>
  </si>
  <si>
    <t>652801200406071618</t>
  </si>
  <si>
    <t>杨振宁</t>
  </si>
  <si>
    <t>0001210</t>
  </si>
  <si>
    <t>4-3-401</t>
  </si>
  <si>
    <t>陈江铃</t>
  </si>
  <si>
    <t>2026-03-09</t>
  </si>
  <si>
    <t>邓呈军</t>
  </si>
  <si>
    <t>4-3-402</t>
  </si>
  <si>
    <t>2026-3-4/9</t>
  </si>
  <si>
    <t>652826197210310632</t>
  </si>
  <si>
    <t>孔勇</t>
  </si>
  <si>
    <t>0001156</t>
  </si>
  <si>
    <t>4-3-501</t>
  </si>
  <si>
    <t>652801199511036114</t>
  </si>
  <si>
    <t>李洋</t>
  </si>
  <si>
    <t>0001215</t>
  </si>
  <si>
    <t>4-3-502</t>
  </si>
  <si>
    <t>411323200203143875</t>
  </si>
  <si>
    <t>殷江涛</t>
  </si>
  <si>
    <t>0000580</t>
  </si>
  <si>
    <t>4-3-601</t>
  </si>
  <si>
    <t>622323199604280517</t>
  </si>
  <si>
    <t>郭月章</t>
  </si>
  <si>
    <t>0001192</t>
  </si>
  <si>
    <t>4-3-602</t>
  </si>
  <si>
    <t>652825200012173911</t>
  </si>
  <si>
    <t>肉孜·麦麦提</t>
  </si>
  <si>
    <t>0001185</t>
  </si>
  <si>
    <t>4-3-701</t>
  </si>
  <si>
    <t>叶永虎</t>
  </si>
  <si>
    <t>2025-10-1、5</t>
  </si>
  <si>
    <t>622323199806144433</t>
  </si>
  <si>
    <t>侯万金</t>
  </si>
  <si>
    <t>4-3-702</t>
  </si>
  <si>
    <t>2025.4.4</t>
  </si>
  <si>
    <t>239005200107192815</t>
  </si>
  <si>
    <t>李子维</t>
  </si>
  <si>
    <t>4-3-801</t>
  </si>
  <si>
    <t>622322198806202663</t>
  </si>
  <si>
    <t>柴英杰</t>
  </si>
  <si>
    <t>4-3-802</t>
  </si>
  <si>
    <t>622201199704154514</t>
  </si>
  <si>
    <t>周文斌</t>
  </si>
  <si>
    <t>4-3-901</t>
  </si>
  <si>
    <t>622301199803285937</t>
  </si>
  <si>
    <t>陈桢</t>
  </si>
  <si>
    <t>4-3-902</t>
  </si>
  <si>
    <t>652825200202281518</t>
  </si>
  <si>
    <t>乃比江·乃麦提</t>
  </si>
  <si>
    <t>0001189</t>
  </si>
  <si>
    <t>4-3-1001</t>
  </si>
  <si>
    <t>622323199803110537</t>
  </si>
  <si>
    <t>邢永鸿</t>
  </si>
  <si>
    <t>0001193</t>
  </si>
  <si>
    <t>4-3-1002</t>
  </si>
  <si>
    <t>4-3-1101</t>
  </si>
  <si>
    <t>652827200007071630</t>
  </si>
  <si>
    <t>艾买江·艾海买提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</si>
  <si>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</si>
  <si>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</si>
  <si>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</si>
  <si>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</si>
  <si>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</si>
  <si>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</si>
  <si>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</si>
  <si>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</si>
  <si>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</si>
  <si>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</si>
  <si>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</si>
  <si>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</si>
  <si>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</si>
  <si>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</si>
  <si>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</si>
  <si>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</si>
  <si>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</si>
  <si>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</si>
  <si>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</si>
  <si>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</si>
  <si>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</si>
  <si>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</si>
  <si>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</si>
  <si>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2025.6.9</t>
  </si>
  <si>
    <t>6-1-201</t>
  </si>
  <si>
    <t>6-1-202</t>
  </si>
  <si>
    <t>姜峰</t>
  </si>
  <si>
    <t>6-1-301</t>
  </si>
  <si>
    <t>6-1-302</t>
  </si>
  <si>
    <t>61042719750101162X</t>
  </si>
  <si>
    <t>严小梅</t>
  </si>
  <si>
    <t>0001230</t>
  </si>
  <si>
    <t>6-1-401</t>
  </si>
  <si>
    <t>6-1-402</t>
  </si>
  <si>
    <t>411323199809264457</t>
  </si>
  <si>
    <t>柴桦楠</t>
  </si>
  <si>
    <t>0001227</t>
  </si>
  <si>
    <t>6-1-501</t>
  </si>
  <si>
    <t>2026-3-16、31</t>
  </si>
  <si>
    <t>622223199907284616</t>
  </si>
  <si>
    <t>葛永泽</t>
  </si>
  <si>
    <t>6-1-502</t>
  </si>
  <si>
    <t>2025-9-3/24</t>
  </si>
  <si>
    <t>612422200202150018</t>
  </si>
  <si>
    <t>唐子坤</t>
  </si>
  <si>
    <t>0001213</t>
  </si>
  <si>
    <t>6-1-601</t>
  </si>
  <si>
    <t>李佳</t>
  </si>
  <si>
    <t>652801199004121621</t>
  </si>
  <si>
    <t>许乐贝</t>
  </si>
  <si>
    <t>0001172</t>
  </si>
  <si>
    <t>6-1-602</t>
  </si>
  <si>
    <t>622323199508250836</t>
  </si>
  <si>
    <t>惠学园</t>
  </si>
  <si>
    <t>0001202</t>
  </si>
  <si>
    <t>6-1-701</t>
  </si>
  <si>
    <t>41282519950828253X</t>
  </si>
  <si>
    <t>翟银生</t>
  </si>
  <si>
    <t>0001154</t>
  </si>
  <si>
    <t>6-1-702</t>
  </si>
  <si>
    <t>特价房源，不要车位</t>
  </si>
  <si>
    <t>65282319940327261X</t>
  </si>
  <si>
    <t>陈前</t>
  </si>
  <si>
    <t>0001222</t>
  </si>
  <si>
    <t>6-1-801</t>
  </si>
  <si>
    <t>2026-3-2/17、30</t>
  </si>
  <si>
    <t>特价房源</t>
  </si>
  <si>
    <t>622323199908025216</t>
  </si>
  <si>
    <t>苏文杰</t>
  </si>
  <si>
    <t>0001167</t>
  </si>
  <si>
    <t>6-1-802</t>
  </si>
  <si>
    <t>2025.8.27</t>
  </si>
  <si>
    <t xml:space="preserve">2025-9-1
2025-9-8
</t>
  </si>
  <si>
    <t>230229200205032712</t>
  </si>
  <si>
    <t>郭显鹏</t>
  </si>
  <si>
    <t>0001219</t>
  </si>
  <si>
    <t>6-1-901</t>
  </si>
  <si>
    <t>2026-3-1/26</t>
  </si>
  <si>
    <t>412723198910162963</t>
  </si>
  <si>
    <t>王培</t>
  </si>
  <si>
    <t>6-1-902</t>
  </si>
  <si>
    <t>2025.2.2</t>
  </si>
  <si>
    <t>要车位</t>
  </si>
  <si>
    <t>610502200004100413</t>
  </si>
  <si>
    <t>张展鹏</t>
  </si>
  <si>
    <t>0001220</t>
  </si>
  <si>
    <t>6-1-1001</t>
  </si>
  <si>
    <t>2026-3-1、9</t>
  </si>
  <si>
    <t>652823196101042620</t>
  </si>
  <si>
    <t>陈金龙 伍玉兰</t>
  </si>
  <si>
    <t>0001218</t>
  </si>
  <si>
    <t>6-1-1002</t>
  </si>
  <si>
    <t>2026-3-1、14</t>
  </si>
  <si>
    <t>652826199508042625</t>
  </si>
  <si>
    <t>白梦婷</t>
  </si>
  <si>
    <t>0001196</t>
  </si>
  <si>
    <t>6-1-1101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</si>
  <si>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</si>
  <si>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</si>
  <si>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</si>
  <si>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</si>
  <si>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</si>
  <si>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</si>
  <si>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</si>
  <si>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6-2-201</t>
  </si>
  <si>
    <t>6-2-202</t>
  </si>
  <si>
    <t>411323200107031734</t>
  </si>
  <si>
    <t>6-2-301</t>
  </si>
  <si>
    <t>622425199711117019</t>
  </si>
  <si>
    <t>马宏伟</t>
  </si>
  <si>
    <t>6-2-302</t>
  </si>
  <si>
    <t>659001199202265741</t>
  </si>
  <si>
    <t>李亚婷</t>
  </si>
  <si>
    <t>0001160</t>
  </si>
  <si>
    <t>6-2-401</t>
  </si>
  <si>
    <t>2025.7.29</t>
  </si>
  <si>
    <t>2025.8.3</t>
  </si>
  <si>
    <t>231084200106251113</t>
  </si>
  <si>
    <t>付新鹏</t>
  </si>
  <si>
    <t>0001179</t>
  </si>
  <si>
    <t>6-2-402</t>
  </si>
  <si>
    <t>652801199812111616</t>
  </si>
  <si>
    <t>买尔旦·艾尼玩</t>
  </si>
  <si>
    <t>6-2-501</t>
  </si>
  <si>
    <t>2025.3.9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</si>
  <si>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</si>
  <si>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</si>
  <si>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</si>
  <si>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</si>
  <si>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</si>
  <si>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</si>
  <si>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</si>
  <si>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</si>
  <si>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2024.12.31</t>
  </si>
  <si>
    <t>410221200012189898</t>
  </si>
  <si>
    <t>张家宝
陈代明 退</t>
  </si>
  <si>
    <t>6-2-602</t>
  </si>
  <si>
    <t>2025.2.12</t>
  </si>
  <si>
    <t>2025.4.5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</si>
  <si>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</si>
  <si>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</si>
  <si>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</si>
  <si>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</si>
  <si>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</si>
  <si>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</si>
  <si>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</si>
  <si>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</si>
  <si>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</si>
  <si>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654101199302261773</t>
  </si>
  <si>
    <t>谢伟</t>
  </si>
  <si>
    <t>6-2-801</t>
  </si>
  <si>
    <t>652827199805133423</t>
  </si>
  <si>
    <t>陈禹洁</t>
  </si>
  <si>
    <t>0000593</t>
  </si>
  <si>
    <t>6-2-802</t>
  </si>
  <si>
    <t>不要车位送1年物业费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</si>
  <si>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</si>
  <si>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</si>
  <si>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</si>
  <si>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</si>
  <si>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</si>
  <si>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</si>
  <si>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</si>
  <si>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</si>
  <si>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</si>
  <si>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</si>
  <si>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652201197710231615</t>
  </si>
  <si>
    <t>韩刚</t>
  </si>
  <si>
    <t>0001199</t>
  </si>
  <si>
    <t>6-2-1002</t>
  </si>
  <si>
    <t>6-2-1101</t>
  </si>
  <si>
    <t>652801198103010025</t>
  </si>
  <si>
    <t>董俐</t>
  </si>
  <si>
    <t>0001231</t>
  </si>
  <si>
    <t>6-2-1102</t>
  </si>
  <si>
    <t>610523198304022017</t>
  </si>
  <si>
    <t>王磊</t>
  </si>
  <si>
    <t>6-3-101</t>
  </si>
  <si>
    <t>652829198207150627</t>
  </si>
  <si>
    <t>亢延耘 何苗歌（退)</t>
  </si>
  <si>
    <t>0001212</t>
  </si>
  <si>
    <t>6-3-102</t>
  </si>
  <si>
    <t>2026-3-12/14</t>
  </si>
  <si>
    <t>2025.7.15</t>
  </si>
  <si>
    <t>6-3-201</t>
  </si>
  <si>
    <t>6-3-202</t>
  </si>
  <si>
    <t>6-3-301</t>
  </si>
  <si>
    <t>6-3-302</t>
  </si>
  <si>
    <t>0001226</t>
  </si>
  <si>
    <t>6-3-401</t>
  </si>
  <si>
    <t>2026-3-14/27</t>
  </si>
  <si>
    <t>652323198302043218</t>
  </si>
  <si>
    <t>梁成飞</t>
  </si>
  <si>
    <t>6-3-402</t>
  </si>
  <si>
    <t>652801196408100516</t>
  </si>
  <si>
    <t>李世洲</t>
  </si>
  <si>
    <t>6-3-501</t>
  </si>
  <si>
    <t>2025.8.21</t>
  </si>
  <si>
    <t>6-3-502</t>
  </si>
  <si>
    <t>370687200002022078</t>
  </si>
  <si>
    <t>孙义明</t>
  </si>
  <si>
    <t>0001016</t>
  </si>
  <si>
    <t>6-3-601</t>
  </si>
  <si>
    <t>2025.1.19</t>
  </si>
  <si>
    <t>620523200008241719</t>
  </si>
  <si>
    <t>杨振杰</t>
  </si>
  <si>
    <t>6-3-602</t>
  </si>
  <si>
    <t>2026-3-3/4/27</t>
  </si>
  <si>
    <t>652823199407280510</t>
  </si>
  <si>
    <t>王俊凯</t>
  </si>
  <si>
    <t>0001161</t>
  </si>
  <si>
    <t>6-3-701</t>
  </si>
  <si>
    <t>652801199009267013</t>
  </si>
  <si>
    <t>杨子航</t>
  </si>
  <si>
    <t>6-3-702</t>
  </si>
  <si>
    <t>5002401199909126053</t>
  </si>
  <si>
    <t>庄闽渝</t>
  </si>
  <si>
    <t>0001164</t>
  </si>
  <si>
    <t>6-3-801</t>
  </si>
  <si>
    <t>6-3-802</t>
  </si>
  <si>
    <t>411527199209105010</t>
  </si>
  <si>
    <t>孙翔</t>
  </si>
  <si>
    <t>0000999</t>
  </si>
  <si>
    <t>6-3-901</t>
  </si>
  <si>
    <t>6-3-902</t>
  </si>
  <si>
    <t>622628200009297414</t>
  </si>
  <si>
    <t>张羊文</t>
  </si>
  <si>
    <t>0001140</t>
  </si>
  <si>
    <t>6-3-1001</t>
  </si>
  <si>
    <t>6-3-1002</t>
  </si>
  <si>
    <t>653124199908074212</t>
  </si>
  <si>
    <t>熊秋靖</t>
  </si>
  <si>
    <t>6-3-1101</t>
  </si>
  <si>
    <t>2026-3-10/14、27</t>
  </si>
  <si>
    <t>陈立成</t>
  </si>
  <si>
    <t>6-3-1102</t>
  </si>
  <si>
    <t>144平以下</t>
  </si>
  <si>
    <t>144平以上</t>
  </si>
  <si>
    <t xml:space="preserve">             16#19#楼商铺销售明细表 </t>
  </si>
  <si>
    <t>2025.4月</t>
  </si>
  <si>
    <t>2025.5月</t>
  </si>
  <si>
    <t>2025.6月</t>
  </si>
  <si>
    <t>2025.7月</t>
  </si>
  <si>
    <t>王秋云</t>
  </si>
  <si>
    <t>16-1层01</t>
  </si>
  <si>
    <t>16-1层02</t>
  </si>
  <si>
    <t>513027197508187422</t>
  </si>
  <si>
    <t>吴德琼、赵大峰</t>
  </si>
  <si>
    <t>16-1层03</t>
  </si>
  <si>
    <t>2025-9-28
2025-11-5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</si>
  <si>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</si>
  <si>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</si>
  <si>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</si>
  <si>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</si>
  <si>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</si>
  <si>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</si>
  <si>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</si>
  <si>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</si>
  <si>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</si>
  <si>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37252619830501102X</t>
  </si>
  <si>
    <t>吴玉伟</t>
  </si>
  <si>
    <t>16-1层07</t>
  </si>
  <si>
    <t>652825196509052657</t>
  </si>
  <si>
    <t>范德源、文芳</t>
  </si>
  <si>
    <t>16-1层08</t>
  </si>
  <si>
    <t>412726198210126741</t>
  </si>
  <si>
    <t>谢瑞</t>
  </si>
  <si>
    <t>0001144</t>
  </si>
  <si>
    <t>16-1层09</t>
  </si>
  <si>
    <t>16-1层10</t>
  </si>
  <si>
    <t>公厕</t>
  </si>
  <si>
    <t>16-1层11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</si>
  <si>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</si>
  <si>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</si>
  <si>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</si>
  <si>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</si>
  <si>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</si>
  <si>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</si>
  <si>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</si>
  <si>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</si>
  <si>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</si>
  <si>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</si>
  <si>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</si>
  <si>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</si>
  <si>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>511011199908155063</t>
  </si>
  <si>
    <t xml:space="preserve">黄艾琳、阳君11.30
</t>
  </si>
  <si>
    <t>16-1层17</t>
  </si>
  <si>
    <t xml:space="preserve">米云鹤 </t>
  </si>
  <si>
    <t>20240007505</t>
  </si>
  <si>
    <t>黄艾琳、阳君11.30</t>
  </si>
  <si>
    <t>16-1层18</t>
  </si>
  <si>
    <t>2025.8.20</t>
  </si>
  <si>
    <t>652801201608153413</t>
  </si>
  <si>
    <t>刘祥宇</t>
  </si>
  <si>
    <t>16-2层01</t>
  </si>
  <si>
    <t>16-2层02</t>
  </si>
  <si>
    <t>16-2层03</t>
  </si>
  <si>
    <t>622323198412243418</t>
  </si>
  <si>
    <t>樊国庆</t>
  </si>
  <si>
    <t>16-2层04</t>
  </si>
  <si>
    <t>16-2层05</t>
  </si>
  <si>
    <t>412328198702144226</t>
  </si>
  <si>
    <t>宋依潼</t>
  </si>
  <si>
    <t>16-2层06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</si>
  <si>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</si>
  <si>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</si>
  <si>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</si>
  <si>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</si>
  <si>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</si>
  <si>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</si>
  <si>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</si>
  <si>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</si>
  <si>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</si>
  <si>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</si>
  <si>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</si>
  <si>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</si>
  <si>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16-2层17</t>
  </si>
  <si>
    <t>2025.4.21</t>
  </si>
  <si>
    <t>65312419720115421X</t>
  </si>
  <si>
    <t>李义华、舒梅</t>
  </si>
  <si>
    <t>因户口问题需重签合同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</si>
  <si>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</si>
  <si>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</si>
  <si>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</si>
  <si>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</si>
  <si>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</si>
  <si>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</si>
  <si>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</si>
  <si>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131081200504271029</t>
  </si>
  <si>
    <t>张芸绮</t>
  </si>
  <si>
    <t>19-1层02</t>
  </si>
  <si>
    <t>19-1层03</t>
  </si>
  <si>
    <t>19-1层04</t>
  </si>
  <si>
    <t>19-1层05</t>
  </si>
  <si>
    <t>2025-9-6、30</t>
  </si>
  <si>
    <t>19-1层06</t>
  </si>
  <si>
    <t>19-1层07</t>
  </si>
  <si>
    <t>2025-8-9、2025-8-17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</si>
  <si>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</si>
  <si>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</si>
  <si>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</si>
  <si>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</si>
  <si>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</si>
  <si>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</si>
  <si>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</si>
  <si>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</si>
  <si>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</si>
  <si>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</si>
  <si>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</si>
  <si>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</si>
  <si>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</si>
  <si>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</si>
  <si>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</si>
  <si>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</si>
  <si>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19-2层02</t>
  </si>
  <si>
    <t>652826198906282929</t>
  </si>
  <si>
    <t>张丽、柴金帅</t>
  </si>
  <si>
    <t>19-2层03</t>
  </si>
  <si>
    <t>2025.7.1</t>
  </si>
  <si>
    <t>652826199801083223</t>
  </si>
  <si>
    <t>许雯 翟江南</t>
  </si>
  <si>
    <t>19-2层04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</si>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</sst>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yyyy&quot;年&quot;m&quot;月&quot;d&quot;日&quot;;@"/>
    <numFmt numFmtId="203" formatCode="0.00_);[Red]\(0.00\)"/>
    <numFmt numFmtId="204" formatCode="_ * #,##0.00_ ;_ * \-#,##0.00_ ;_ * &quot;-&quot;??.0_ ;_ @_ "/>
    <numFmt numFmtId="205" formatCode="0.0000%"/>
    <numFmt numFmtId="206" formatCode="0_);[Red]\(0\)"/>
    <numFmt numFmtId="207" formatCode="#,##0.0_ "/>
    <numFmt numFmtId="208" formatCode="0.0_ "/>
    <numFmt numFmtId="209" formatCode="#,##0.000_ "/>
    <numFmt numFmtId="210" formatCode="_ * #,##0.000_ ;_ * \-#,##0.000_ ;_ * &quot;-&quot;??.0_ ;_ @_ "/>
    <numFmt numFmtId="211" formatCode="m/d;@"/>
    <numFmt numFmtId="212" formatCode="#,##0_ "/>
    <numFmt numFmtId="213" formatCode="_ * #,##0.0000_ ;_ * \-#,##0.0000_ ;_ * &quot;-&quot;??.00_ ;_ @_ "/>
    <numFmt numFmtId="214" formatCode="0.000_ "/>
    <numFmt numFmtId="215" formatCode="mmm\/yy"/>
    <numFmt numFmtId="216" formatCode="0;[Red]0"/>
    <numFmt numFmtId="217" formatCode="#,##0_);[Red]\(#,##0\)"/>
    <numFmt numFmtId="218" formatCode="#,##0;[Red]#,##0"/>
    <numFmt numFmtId="219" formatCode="0.0000_ "/>
    <numFmt numFmtId="220" formatCode="#,##0.000"/>
  </numFmts>
  <fonts count="162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12"/>
      <color theme="5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6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9"/>
      <color rgb="FFFF0000"/>
      <name val="宋体"/>
      <charset val="134"/>
    </font>
    <font>
      <b/>
      <sz val="12"/>
      <color rgb="FF363636"/>
      <name val="宋体"/>
      <charset val="134"/>
    </font>
    <font>
      <sz val="9"/>
      <color rgb="FF333333"/>
      <name val="宋体"/>
      <charset val="134"/>
    </font>
    <font>
      <b/>
      <sz val="8"/>
      <name val="宋体"/>
      <charset val="134"/>
    </font>
    <font>
      <b/>
      <sz val="9"/>
      <color rgb="FF00B0F0"/>
      <name val="宋体"/>
      <charset val="134"/>
    </font>
    <font>
      <sz val="9"/>
      <color theme="1"/>
      <name val="宋体"/>
      <charset val="134"/>
      <scheme val="minor"/>
    </font>
    <font>
      <sz val="10.5"/>
      <color rgb="FF333333"/>
      <name val="Tahoma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10"/>
      <name val="宋体"/>
      <charset val="134"/>
    </font>
    <font>
      <b/>
      <sz val="8"/>
      <color theme="1"/>
      <name val="宋体"/>
      <charset val="134"/>
      <scheme val="minor"/>
    </font>
    <font>
      <sz val="10"/>
      <color indexed="10"/>
      <name val="宋体"/>
      <charset val="134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u/>
      <sz val="11"/>
      <color rgb="FF800080"/>
      <name val="宋体"/>
      <charset val="0"/>
      <scheme val="minor"/>
    </font>
    <font>
      <sz val="10.5"/>
      <color rgb="FF333333"/>
      <name val="PingFang 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11"/>
      <color theme="1"/>
      <name val="SimSun"/>
      <charset val="134"/>
    </font>
    <font>
      <b/>
      <sz val="9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4"/>
      <color rgb="FF000000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2" fontId="79" fillId="0" borderId="0" applyFon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9" fillId="19" borderId="28" applyNumberFormat="0" applyFon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29" applyNumberFormat="0" applyFill="0" applyAlignment="0" applyProtection="0">
      <alignment vertical="center"/>
    </xf>
    <xf numFmtId="0" fontId="85" fillId="0" borderId="29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20" borderId="31" applyNumberFormat="0" applyAlignment="0" applyProtection="0">
      <alignment vertical="center"/>
    </xf>
    <xf numFmtId="0" fontId="88" fillId="21" borderId="32" applyNumberFormat="0" applyAlignment="0" applyProtection="0">
      <alignment vertical="center"/>
    </xf>
    <xf numFmtId="0" fontId="89" fillId="21" borderId="31" applyNumberFormat="0" applyAlignment="0" applyProtection="0">
      <alignment vertical="center"/>
    </xf>
    <xf numFmtId="0" fontId="90" fillId="22" borderId="33" applyNumberFormat="0" applyAlignment="0" applyProtection="0">
      <alignment vertical="center"/>
    </xf>
    <xf numFmtId="0" fontId="91" fillId="0" borderId="34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93" fillId="23" borderId="0" applyNumberFormat="0" applyBorder="0" applyAlignment="0" applyProtection="0">
      <alignment vertical="center"/>
    </xf>
    <xf numFmtId="0" fontId="94" fillId="24" borderId="0" applyNumberFormat="0" applyBorder="0" applyAlignment="0" applyProtection="0">
      <alignment vertical="center"/>
    </xf>
    <xf numFmtId="0" fontId="95" fillId="25" borderId="0" applyNumberFormat="0" applyBorder="0" applyAlignment="0" applyProtection="0">
      <alignment vertical="center"/>
    </xf>
    <xf numFmtId="0" fontId="96" fillId="26" borderId="0" applyNumberFormat="0" applyBorder="0" applyAlignment="0" applyProtection="0">
      <alignment vertical="center"/>
    </xf>
    <xf numFmtId="0" fontId="97" fillId="27" borderId="0" applyNumberFormat="0" applyBorder="0" applyAlignment="0" applyProtection="0">
      <alignment vertical="center"/>
    </xf>
    <xf numFmtId="0" fontId="97" fillId="28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30" borderId="0" applyNumberFormat="0" applyBorder="0" applyAlignment="0" applyProtection="0">
      <alignment vertical="center"/>
    </xf>
    <xf numFmtId="0" fontId="97" fillId="31" borderId="0" applyNumberFormat="0" applyBorder="0" applyAlignment="0" applyProtection="0">
      <alignment vertical="center"/>
    </xf>
    <xf numFmtId="0" fontId="97" fillId="32" borderId="0" applyNumberFormat="0" applyBorder="0" applyAlignment="0" applyProtection="0">
      <alignment vertical="center"/>
    </xf>
    <xf numFmtId="0" fontId="96" fillId="33" borderId="0" applyNumberFormat="0" applyBorder="0" applyAlignment="0" applyProtection="0">
      <alignment vertical="center"/>
    </xf>
    <xf numFmtId="0" fontId="96" fillId="34" borderId="0" applyNumberFormat="0" applyBorder="0" applyAlignment="0" applyProtection="0">
      <alignment vertical="center"/>
    </xf>
    <xf numFmtId="0" fontId="97" fillId="35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6" fillId="38" borderId="0" applyNumberFormat="0" applyBorder="0" applyAlignment="0" applyProtection="0">
      <alignment vertical="center"/>
    </xf>
    <xf numFmtId="0" fontId="97" fillId="39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96" fillId="41" borderId="0" applyNumberFormat="0" applyBorder="0" applyAlignment="0" applyProtection="0">
      <alignment vertical="center"/>
    </xf>
    <xf numFmtId="0" fontId="96" fillId="42" borderId="0" applyNumberFormat="0" applyBorder="0" applyAlignment="0" applyProtection="0">
      <alignment vertical="center"/>
    </xf>
    <xf numFmtId="0" fontId="97" fillId="43" borderId="0" applyNumberFormat="0" applyBorder="0" applyAlignment="0" applyProtection="0">
      <alignment vertical="center"/>
    </xf>
    <xf numFmtId="0" fontId="97" fillId="44" borderId="0" applyNumberFormat="0" applyBorder="0" applyAlignment="0" applyProtection="0">
      <alignment vertical="center"/>
    </xf>
    <xf numFmtId="0" fontId="96" fillId="45" borderId="0" applyNumberFormat="0" applyBorder="0" applyAlignment="0" applyProtection="0">
      <alignment vertical="center"/>
    </xf>
    <xf numFmtId="0" fontId="96" fillId="46" borderId="0" applyNumberFormat="0" applyBorder="0" applyAlignment="0" applyProtection="0">
      <alignment vertical="center"/>
    </xf>
    <xf numFmtId="0" fontId="97" fillId="47" borderId="0" applyNumberFormat="0" applyBorder="0" applyAlignment="0" applyProtection="0">
      <alignment vertical="center"/>
    </xf>
    <xf numFmtId="0" fontId="97" fillId="48" borderId="0" applyNumberFormat="0" applyBorder="0" applyAlignment="0" applyProtection="0">
      <alignment vertical="center"/>
    </xf>
    <xf numFmtId="0" fontId="96" fillId="4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2" fillId="0" borderId="38">
      <alignment horizontal="center" vertical="center"/>
    </xf>
    <xf numFmtId="0" fontId="10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4" fillId="0" borderId="39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06" fillId="0" borderId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5" fontId="112" fillId="0" borderId="0" applyFont="0" applyFill="0" applyBorder="0" applyAlignment="0" applyProtection="0"/>
    <xf numFmtId="0" fontId="103" fillId="53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63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78" fontId="120" fillId="67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6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6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38" fontId="105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5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57" borderId="0" applyNumberFormat="0" applyBorder="0" applyAlignment="0" applyProtection="0"/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7" fillId="0" borderId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79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117" fillId="0" borderId="0"/>
    <xf numFmtId="0" fontId="79" fillId="65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7" fillId="0" borderId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7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0" fontId="45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7" fillId="0" borderId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7" fillId="0" borderId="0"/>
    <xf numFmtId="0" fontId="43" fillId="5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17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7" fillId="0" borderId="0"/>
    <xf numFmtId="0" fontId="125" fillId="11" borderId="0" applyNumberFormat="0" applyBorder="0" applyAlignment="0" applyProtection="0"/>
    <xf numFmtId="0" fontId="124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17" fillId="0" borderId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109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7" fillId="0" borderId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7" fillId="0" borderId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3" fillId="5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117" fillId="0" borderId="0">
      <alignment vertical="center"/>
    </xf>
    <xf numFmtId="10" fontId="37" fillId="0" borderId="0" applyFont="0" applyFill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8">
      <alignment horizontal="center" vertical="center"/>
    </xf>
    <xf numFmtId="0" fontId="79" fillId="60" borderId="0" applyNumberFormat="0" applyAlignment="0" applyProtection="0">
      <alignment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8">
      <alignment horizontal="center" vertical="center"/>
    </xf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0" borderId="0" applyNumberFormat="0" applyBorder="0" applyAlignment="0" applyProtection="0"/>
    <xf numFmtId="0" fontId="103" fillId="5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1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7" fillId="0" borderId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7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22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0" fillId="51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2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8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0" fontId="122" fillId="0" borderId="0"/>
    <xf numFmtId="0" fontId="10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6" fillId="0" borderId="0">
      <alignment vertical="center"/>
    </xf>
    <xf numFmtId="0" fontId="117" fillId="0" borderId="0"/>
    <xf numFmtId="0" fontId="125" fillId="11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6" fillId="0" borderId="0"/>
    <xf numFmtId="0" fontId="43" fillId="62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9" fontId="37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9" fontId="37" fillId="0" borderId="0" applyFont="0" applyFill="0" applyBorder="0" applyAlignment="0" applyProtection="0"/>
    <xf numFmtId="0" fontId="109" fillId="0" borderId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29" fillId="69" borderId="1" applyAlignment="0" applyProtection="0">
      <alignment vertical="center"/>
    </xf>
    <xf numFmtId="0" fontId="37" fillId="0" borderId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37" fillId="0" borderId="0"/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22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7" fillId="0" borderId="0"/>
    <xf numFmtId="0" fontId="22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6" fillId="0" borderId="0">
      <alignment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6" fillId="0" borderId="0"/>
    <xf numFmtId="0" fontId="0" fillId="0" borderId="0">
      <alignment vertical="center"/>
    </xf>
    <xf numFmtId="0" fontId="106" fillId="0" borderId="0"/>
    <xf numFmtId="0" fontId="0" fillId="0" borderId="0">
      <alignment vertical="center"/>
    </xf>
    <xf numFmtId="0" fontId="106" fillId="0" borderId="0"/>
    <xf numFmtId="0" fontId="106" fillId="0" borderId="0"/>
    <xf numFmtId="0" fontId="106" fillId="0" borderId="0"/>
    <xf numFmtId="0" fontId="45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6" fillId="0" borderId="0"/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6" fillId="0" borderId="0"/>
    <xf numFmtId="0" fontId="114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06" fillId="0" borderId="0"/>
    <xf numFmtId="0" fontId="107" fillId="53" borderId="0" applyNumberFormat="0" applyBorder="0" applyAlignment="0" applyProtection="0">
      <alignment vertical="center"/>
    </xf>
    <xf numFmtId="0" fontId="106" fillId="0" borderId="0"/>
    <xf numFmtId="0" fontId="107" fillId="53" borderId="0" applyNumberFormat="0" applyBorder="0" applyAlignment="0" applyProtection="0">
      <alignment vertical="center"/>
    </xf>
    <xf numFmtId="0" fontId="106" fillId="0" borderId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7" fillId="0" borderId="0"/>
    <xf numFmtId="0" fontId="113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124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17" fillId="0" borderId="0"/>
    <xf numFmtId="0" fontId="26" fillId="9" borderId="0" applyNumberFormat="0" applyBorder="0" applyAlignment="0" applyProtection="0"/>
    <xf numFmtId="0" fontId="124" fillId="0" borderId="11">
      <alignment horizontal="left" vertical="center"/>
    </xf>
    <xf numFmtId="0" fontId="117" fillId="0" borderId="0"/>
    <xf numFmtId="0" fontId="117" fillId="0" borderId="0"/>
    <xf numFmtId="0" fontId="117" fillId="0" borderId="0"/>
    <xf numFmtId="0" fontId="22" fillId="15" borderId="0" applyNumberFormat="0" applyBorder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7" fillId="0" borderId="0"/>
    <xf numFmtId="0" fontId="110" fillId="5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7" fillId="0" borderId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2" fillId="0" borderId="0"/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/>
    <xf numFmtId="0" fontId="111" fillId="0" borderId="4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0" borderId="0"/>
    <xf numFmtId="0" fontId="107" fillId="53" borderId="0" applyNumberFormat="0" applyBorder="0" applyAlignment="0" applyProtection="0">
      <alignment vertical="center"/>
    </xf>
    <xf numFmtId="0" fontId="122" fillId="0" borderId="0"/>
    <xf numFmtId="0" fontId="102" fillId="0" borderId="38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8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122" fillId="0" borderId="0"/>
    <xf numFmtId="0" fontId="102" fillId="0" borderId="38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02" fillId="0" borderId="38">
      <alignment horizont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22" fillId="0" borderId="0"/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8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2" fillId="0" borderId="0"/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15" borderId="0" applyNumberFormat="0" applyBorder="0" applyAlignment="0" applyProtection="0"/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7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7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7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  <protection locked="0"/>
    </xf>
    <xf numFmtId="0" fontId="45" fillId="0" borderId="43" applyNumberFormat="0" applyFill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6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6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98" fillId="15" borderId="36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7" fillId="0" borderId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110" fillId="15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10" fillId="59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7" fillId="0" borderId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8" fillId="64" borderId="0" applyNumberFormat="0" applyBorder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8">
      <alignment horizontal="center"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8" fillId="6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8">
      <alignment horizontal="center"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9" fillId="0" borderId="43" applyNumberFormat="0" applyFill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7" fillId="0" borderId="0"/>
    <xf numFmtId="0" fontId="119" fillId="0" borderId="43" applyNumberFormat="0" applyFill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7" fillId="0" borderId="0"/>
    <xf numFmtId="0" fontId="103" fillId="56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178" fontId="120" fillId="67" borderId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7" fillId="0" borderId="0"/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protection locked="0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78" fontId="120" fillId="67" borderId="0"/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7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  <protection locked="0"/>
    </xf>
    <xf numFmtId="0" fontId="124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7" fillId="0" borderId="0">
      <alignment vertical="center"/>
    </xf>
    <xf numFmtId="0" fontId="122" fillId="0" borderId="0">
      <alignment vertical="center"/>
      <protection locked="0"/>
    </xf>
    <xf numFmtId="0" fontId="107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7" fillId="0" borderId="0">
      <alignment vertical="center"/>
    </xf>
    <xf numFmtId="0" fontId="110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22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22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22" fillId="66" borderId="0" applyNumberFormat="0" applyBorder="0" applyAlignment="0" applyProtection="0"/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79" fontId="131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5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3" fillId="56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0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6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178" fontId="120" fillId="67" borderId="0">
      <alignment vertical="center"/>
    </xf>
    <xf numFmtId="0" fontId="113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11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6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01" fillId="15" borderId="37" applyNumberFormat="0" applyAlignment="0" applyProtection="0">
      <alignment vertical="center"/>
    </xf>
    <xf numFmtId="0" fontId="132" fillId="0" borderId="0">
      <alignment horizontal="center" wrapText="1"/>
      <protection locked="0"/>
    </xf>
    <xf numFmtId="0" fontId="0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52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01" fillId="15" borderId="37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01" fillId="15" borderId="37" applyNumberFormat="0" applyAlignment="0" applyProtection="0">
      <alignment vertical="center"/>
    </xf>
    <xf numFmtId="0" fontId="103" fillId="52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01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5" fontId="112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80" fontId="37" fillId="0" borderId="0" applyFont="0" applyFill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79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180" fontId="37" fillId="0" borderId="0" applyFont="0" applyFill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0" borderId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0" fillId="0" borderId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79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10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12" fillId="0" borderId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2" fillId="0" borderId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7" fillId="53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2" fillId="0" borderId="0">
      <alignment horizontal="center" vertical="center" wrapText="1"/>
      <protection locked="0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178" fontId="120" fillId="67" borderId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22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22" fillId="11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2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2" fillId="56" borderId="0" applyNumberFormat="0" applyBorder="0" applyAlignment="0" applyProtection="0"/>
    <xf numFmtId="0" fontId="102" fillId="0" borderId="38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2" fillId="56" borderId="0" applyNumberFormat="0" applyBorder="0" applyAlignment="0" applyProtection="0"/>
    <xf numFmtId="0" fontId="102" fillId="0" borderId="38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7" fillId="64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0" fillId="0" borderId="45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78" fontId="120" fillId="67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178" fontId="120" fillId="67" borderId="0"/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79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/>
    <xf numFmtId="0" fontId="43" fillId="53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103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3" fillId="66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3" fillId="66" borderId="0" applyNumberFormat="0" applyBorder="0" applyAlignment="0" applyProtection="0">
      <alignment vertical="center"/>
    </xf>
    <xf numFmtId="0" fontId="10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2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22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10" fillId="65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4" fillId="15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37" fontId="138" fillId="0" borderId="0">
      <alignment vertical="center"/>
    </xf>
    <xf numFmtId="0" fontId="79" fillId="53" borderId="0" applyNumberFormat="0" applyBorder="0" applyAlignment="0" applyProtection="0">
      <alignment vertical="center"/>
    </xf>
    <xf numFmtId="37" fontId="138" fillId="0" borderId="0"/>
    <xf numFmtId="0" fontId="103" fillId="51" borderId="0" applyNumberFormat="0" applyBorder="0" applyAlignment="0" applyProtection="0">
      <alignment vertical="center"/>
    </xf>
    <xf numFmtId="37" fontId="138" fillId="0" borderId="0">
      <alignment vertical="center"/>
    </xf>
    <xf numFmtId="0" fontId="79" fillId="53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10" fillId="65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04" fillId="0" borderId="39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04" fillId="0" borderId="39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2" fillId="0" borderId="38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2" fillId="0" borderId="38">
      <alignment horizontal="center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79" fillId="0" borderId="0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43" fillId="65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8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22" fillId="0" borderId="0">
      <protection locked="0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22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13" fillId="51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9" fillId="0" borderId="0">
      <alignment vertical="center"/>
    </xf>
    <xf numFmtId="0" fontId="43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1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1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13" fillId="51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82" fontId="131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1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179" fontId="131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179" fontId="131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>
      <protection locked="0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0" fillId="57" borderId="0" applyNumberFormat="0" applyBorder="0" applyAlignment="0" applyProtection="0"/>
    <xf numFmtId="0" fontId="102" fillId="0" borderId="38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0" fillId="57" borderId="0" applyNumberFormat="0" applyBorder="0" applyAlignment="0" applyProtection="0"/>
    <xf numFmtId="0" fontId="102" fillId="0" borderId="38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9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22" fillId="50" borderId="0" applyNumberFormat="0" applyBorder="0" applyAlignment="0" applyProtection="0"/>
    <xf numFmtId="0" fontId="110" fillId="57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11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79" fillId="11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protection locked="0"/>
    </xf>
    <xf numFmtId="0" fontId="43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22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33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33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33" fillId="0" borderId="42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79" fillId="6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22" fillId="56" borderId="0" applyNumberFormat="0" applyBorder="0" applyAlignment="0" applyProtection="0"/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10" fillId="57" borderId="0" applyNumberFormat="0" applyBorder="0" applyAlignment="0" applyProtection="0"/>
    <xf numFmtId="0" fontId="79" fillId="0" borderId="0" applyNumberFormat="0" applyBorder="0" applyAlignment="0" applyProtection="0"/>
    <xf numFmtId="0" fontId="22" fillId="56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8">
      <alignment horizontal="center"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02" fillId="0" borderId="38">
      <alignment horizontal="center"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31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31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2" fillId="50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22" fillId="50" borderId="0" applyNumberFormat="0" applyBorder="0" applyAlignment="0" applyProtection="0"/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9" fillId="0" borderId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79" fillId="0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118" fillId="55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03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0" fillId="59" borderId="0" applyNumberFormat="0" applyBorder="0" applyAlignment="0" applyProtection="0"/>
    <xf numFmtId="0" fontId="103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2" fillId="0" borderId="0">
      <alignment vertical="center"/>
    </xf>
    <xf numFmtId="0" fontId="22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22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8">
      <alignment horizontal="center"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0" fillId="15" borderId="0" applyNumberFormat="0" applyBorder="0" applyAlignment="0" applyProtection="0"/>
    <xf numFmtId="0" fontId="118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03" fillId="65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03" fillId="6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5" borderId="0" applyNumberFormat="0" applyBorder="0" applyAlignment="0" applyProtection="0">
      <alignment vertical="center"/>
    </xf>
    <xf numFmtId="178" fontId="134" fillId="73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2" fillId="0" borderId="38">
      <alignment horizont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15" fontId="112" fillId="0" borderId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79" fillId="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79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110" fillId="5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15" borderId="0" applyNumberFormat="0" applyBorder="0" applyAlignment="0" applyProtection="0"/>
    <xf numFmtId="0" fontId="110" fillId="55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9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9" fillId="0" borderId="0">
      <alignment vertical="center"/>
    </xf>
    <xf numFmtId="0" fontId="103" fillId="54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03" fillId="54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14" fontId="132" fillId="0" borderId="0">
      <alignment horizontal="center" wrapText="1"/>
      <protection locked="0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4" fillId="0" borderId="39" applyNumberFormat="0" applyFill="0" applyProtection="0">
      <alignment horizont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79" fillId="0" borderId="0" applyNumberFormat="0" applyBorder="0" applyAlignment="0" applyProtection="0"/>
    <xf numFmtId="0" fontId="26" fillId="9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6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09" fillId="0" borderId="0">
      <alignment vertical="center"/>
    </xf>
    <xf numFmtId="0" fontId="79" fillId="59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59" borderId="0" applyNumberFormat="0" applyBorder="0" applyAlignment="0" applyProtection="0"/>
    <xf numFmtId="0" fontId="107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22" fillId="0" borderId="0">
      <alignment vertical="center"/>
      <protection locked="0"/>
    </xf>
    <xf numFmtId="0" fontId="98" fillId="15" borderId="36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98" fillId="15" borderId="36" applyNumberFormat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/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8" fillId="6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79" fontId="131" fillId="0" borderId="0"/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22" fillId="56" borderId="0" applyNumberFormat="0" applyBorder="0" applyAlignment="0" applyProtection="0"/>
    <xf numFmtId="0" fontId="110" fillId="65" borderId="0" applyNumberFormat="0" applyBorder="0" applyAlignment="0" applyProtection="0"/>
    <xf numFmtId="179" fontId="131" fillId="0" borderId="0"/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0" fillId="65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09" fillId="0" borderId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07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79" fillId="9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37" fontId="79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5" borderId="0" applyNumberFormat="0" applyBorder="0" applyAlignment="0" applyProtection="0">
      <alignment vertical="center"/>
    </xf>
    <xf numFmtId="37" fontId="79" fillId="0" borderId="0">
      <alignment vertical="center"/>
    </xf>
    <xf numFmtId="0" fontId="107" fillId="6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22" fillId="50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22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2" fillId="0" borderId="38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2" fillId="0" borderId="38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2" fillId="0" borderId="38">
      <alignment horizontal="center" vertical="center"/>
    </xf>
    <xf numFmtId="0" fontId="107" fillId="5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/>
    <xf numFmtId="0" fontId="22" fillId="50" borderId="0" applyNumberFormat="0" applyBorder="0" applyAlignment="0" applyProtection="0"/>
    <xf numFmtId="0" fontId="122" fillId="0" borderId="0">
      <alignment vertical="center"/>
      <protection locked="0"/>
    </xf>
    <xf numFmtId="0" fontId="107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/>
    <xf numFmtId="0" fontId="22" fillId="5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10" fillId="58" borderId="0" applyNumberFormat="0" applyBorder="0" applyAlignment="0" applyProtection="0"/>
    <xf numFmtId="0" fontId="112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2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/>
    <xf numFmtId="0" fontId="11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2" fillId="0" borderId="38">
      <alignment horizontal="center"/>
    </xf>
    <xf numFmtId="0" fontId="107" fillId="53" borderId="0" applyNumberFormat="0" applyBorder="0" applyAlignment="0" applyProtection="0">
      <alignment vertical="center"/>
    </xf>
    <xf numFmtId="0" fontId="102" fillId="0" borderId="38">
      <alignment horizontal="center"/>
    </xf>
    <xf numFmtId="0" fontId="107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02" fillId="0" borderId="38">
      <alignment horizont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8" fillId="53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4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7" fillId="53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124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09" fillId="74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18" fillId="6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8" fillId="64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22" fillId="0" borderId="0">
      <protection locked="0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22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0" fillId="60" borderId="0" applyNumberFormat="0" applyBorder="0" applyAlignment="0" applyProtection="0"/>
    <xf numFmtId="0" fontId="133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2" fillId="0" borderId="38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2" fillId="0" borderId="38">
      <alignment horizontal="center"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6" fillId="0" borderId="0" applyNumberFormat="0" applyBorder="0" applyAlignment="0" applyProtection="0"/>
    <xf numFmtId="0" fontId="110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0" fillId="58" borderId="0" applyNumberFormat="0" applyBorder="0" applyAlignment="0" applyProtection="0"/>
    <xf numFmtId="0" fontId="26" fillId="0" borderId="0" applyNumberFormat="0" applyBorder="0" applyAlignment="0" applyProtection="0"/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8" fillId="5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0" fillId="6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22" fillId="66" borderId="0" applyNumberFormat="0" applyBorder="0" applyAlignment="0" applyProtection="0"/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6" fillId="0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26" fillId="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/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/>
    <xf numFmtId="0" fontId="110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8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8" fillId="59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7" fillId="59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107" fillId="59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122" fillId="0" borderId="0">
      <protection locked="0"/>
    </xf>
    <xf numFmtId="0" fontId="110" fillId="60" borderId="0" applyNumberFormat="0" applyBorder="0" applyAlignment="0" applyProtection="0"/>
    <xf numFmtId="0" fontId="122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2" fillId="0" borderId="0">
      <protection locked="0"/>
    </xf>
    <xf numFmtId="0" fontId="121" fillId="52" borderId="0" applyNumberFormat="0" applyBorder="0" applyAlignment="0" applyProtection="0">
      <alignment vertical="center"/>
    </xf>
    <xf numFmtId="0" fontId="122" fillId="0" borderId="0">
      <alignment vertical="center"/>
      <protection locked="0"/>
    </xf>
    <xf numFmtId="0" fontId="79" fillId="65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/>
    <xf numFmtId="178" fontId="134" fillId="73" borderId="0">
      <alignment vertical="center"/>
    </xf>
    <xf numFmtId="0" fontId="125" fillId="11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178" fontId="134" fillId="73" borderId="0">
      <alignment vertical="center"/>
    </xf>
    <xf numFmtId="0" fontId="125" fillId="11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37" fontId="138" fillId="0" borderId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22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2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22" fillId="56" borderId="0" applyNumberFormat="0" applyBorder="0" applyAlignment="0" applyProtection="0"/>
    <xf numFmtId="0" fontId="109" fillId="0" borderId="0">
      <alignment vertical="center"/>
    </xf>
    <xf numFmtId="0" fontId="22" fillId="56" borderId="0" applyNumberFormat="0" applyBorder="0" applyAlignment="0" applyProtection="0"/>
    <xf numFmtId="0" fontId="79" fillId="0" borderId="0" applyNumberFormat="0" applyBorder="0" applyAlignment="0" applyProtection="0"/>
    <xf numFmtId="10" fontId="105" fillId="50" borderId="1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110" fillId="15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0" fontId="79" fillId="74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79" fillId="74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22" fillId="56" borderId="0" applyNumberFormat="0" applyBorder="0" applyAlignment="0" applyProtection="0"/>
    <xf numFmtId="0" fontId="110" fillId="15" borderId="0" applyNumberFormat="0" applyBorder="0" applyAlignment="0" applyProtection="0"/>
    <xf numFmtId="0" fontId="22" fillId="56" borderId="0" applyNumberFormat="0" applyBorder="0" applyAlignment="0" applyProtection="0"/>
    <xf numFmtId="0" fontId="110" fillId="15" borderId="0" applyNumberFormat="0" applyBorder="0" applyAlignment="0" applyProtection="0"/>
    <xf numFmtId="0" fontId="22" fillId="56" borderId="0" applyNumberFormat="0" applyBorder="0" applyAlignment="0" applyProtection="0"/>
    <xf numFmtId="0" fontId="110" fillId="15" borderId="0" applyNumberFormat="0" applyBorder="0" applyAlignment="0" applyProtection="0"/>
    <xf numFmtId="0" fontId="79" fillId="65" borderId="0" applyNumberFormat="0" applyBorder="0" applyAlignment="0" applyProtection="0"/>
    <xf numFmtId="0" fontId="110" fillId="1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79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126" fillId="68" borderId="44">
      <alignment vertical="center"/>
      <protection locked="0"/>
    </xf>
    <xf numFmtId="0" fontId="98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110" fillId="65" borderId="0" applyNumberFormat="0" applyBorder="0" applyAlignment="0" applyProtection="0"/>
    <xf numFmtId="0" fontId="110" fillId="15" borderId="0" applyNumberFormat="0" applyBorder="0" applyAlignment="0" applyProtection="0"/>
    <xf numFmtId="0" fontId="126" fillId="68" borderId="44">
      <alignment vertical="center"/>
      <protection locked="0"/>
    </xf>
    <xf numFmtId="0" fontId="98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0" fontId="22" fillId="50" borderId="0" applyNumberFormat="0" applyBorder="0" applyAlignment="0" applyProtection="0"/>
    <xf numFmtId="0" fontId="112" fillId="70" borderId="0" applyNumberFormat="0" applyFon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6" fillId="68" borderId="44">
      <alignment vertical="center"/>
      <protection locked="0"/>
    </xf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65" borderId="0" applyNumberFormat="0" applyBorder="0" applyAlignment="0" applyProtection="0"/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6" fillId="68" borderId="44">
      <alignment vertical="center"/>
      <protection locked="0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22" fillId="50" borderId="0" applyNumberFormat="0" applyBorder="0" applyAlignment="0" applyProtection="0"/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22" fillId="5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/>
    <xf numFmtId="0" fontId="110" fillId="5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2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2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102" fillId="0" borderId="38">
      <alignment horizontal="center" vertical="center"/>
    </xf>
    <xf numFmtId="0" fontId="110" fillId="60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8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22" fillId="11" borderId="0" applyNumberFormat="0" applyBorder="0" applyAlignment="0" applyProtection="0"/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11" borderId="0" applyNumberFormat="0" applyBorder="0" applyAlignment="0" applyProtection="0"/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11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0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79" fillId="6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6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6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2" fillId="0" borderId="38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79" fontId="131" fillId="0" borderId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2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50" borderId="0" applyNumberFormat="0" applyBorder="0" applyAlignment="0" applyProtection="0"/>
    <xf numFmtId="0" fontId="110" fillId="57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50" borderId="0" applyNumberFormat="0" applyBorder="0" applyAlignment="0" applyProtection="0"/>
    <xf numFmtId="0" fontId="110" fillId="57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10" fillId="15" borderId="0" applyNumberFormat="0" applyBorder="0" applyAlignment="0" applyProtection="0"/>
    <xf numFmtId="0" fontId="22" fillId="15" borderId="0" applyNumberFormat="0" applyBorder="0" applyAlignment="0" applyProtection="0"/>
    <xf numFmtId="0" fontId="110" fillId="15" borderId="0" applyNumberFormat="0" applyBorder="0" applyAlignment="0" applyProtection="0"/>
    <xf numFmtId="0" fontId="22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22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22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26" fillId="68" borderId="44">
      <alignment vertical="center"/>
      <protection locked="0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0" fillId="0" borderId="45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1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/>
    <xf numFmtId="0" fontId="22" fillId="51" borderId="0" applyNumberFormat="0" applyBorder="0" applyAlignment="0" applyProtection="0"/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22" fillId="51" borderId="0" applyNumberFormat="0" applyBorder="0" applyAlignment="0" applyProtection="0"/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57" borderId="0" applyNumberFormat="0" applyBorder="0" applyAlignment="0" applyProtection="0"/>
    <xf numFmtId="0" fontId="22" fillId="51" borderId="0" applyNumberFormat="0" applyBorder="0" applyAlignment="0" applyProtection="0"/>
    <xf numFmtId="0" fontId="110" fillId="60" borderId="0" applyNumberFormat="0" applyBorder="0" applyAlignment="0" applyProtection="0"/>
    <xf numFmtId="0" fontId="110" fillId="57" borderId="0" applyNumberFormat="0" applyBorder="0" applyAlignment="0" applyProtection="0"/>
    <xf numFmtId="0" fontId="22" fillId="51" borderId="0" applyNumberFormat="0" applyBorder="0" applyAlignment="0" applyProtection="0"/>
    <xf numFmtId="0" fontId="110" fillId="60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/>
    <xf numFmtId="0" fontId="22" fillId="51" borderId="0" applyNumberFormat="0" applyBorder="0" applyAlignment="0" applyProtection="0"/>
    <xf numFmtId="0" fontId="110" fillId="60" borderId="0" applyNumberFormat="0" applyBorder="0" applyAlignment="0" applyProtection="0"/>
    <xf numFmtId="0" fontId="126" fillId="68" borderId="44">
      <alignment vertical="center"/>
      <protection locked="0"/>
    </xf>
    <xf numFmtId="0" fontId="110" fillId="60" borderId="0" applyNumberFormat="0" applyBorder="0" applyAlignment="0" applyProtection="0"/>
    <xf numFmtId="0" fontId="126" fillId="68" borderId="44">
      <alignment vertical="center"/>
      <protection locked="0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7" fillId="7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110" fillId="57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15" fontId="112" fillId="0" borderId="0" applyFon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3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57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8" fillId="7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07" fillId="7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41" fillId="52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110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7" borderId="0" applyNumberFormat="0" applyBorder="0" applyAlignment="0" applyProtection="0"/>
    <xf numFmtId="14" fontId="132" fillId="0" borderId="0">
      <alignment horizontal="center" wrapText="1"/>
      <protection locked="0"/>
    </xf>
    <xf numFmtId="0" fontId="79" fillId="60" borderId="0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79" fillId="65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5" fillId="0" borderId="0">
      <alignment vertical="center"/>
    </xf>
    <xf numFmtId="0" fontId="110" fillId="57" borderId="0" applyNumberFormat="0" applyBorder="0" applyAlignment="0" applyProtection="0"/>
    <xf numFmtId="0" fontId="102" fillId="0" borderId="38">
      <alignment horizontal="center" vertical="center"/>
    </xf>
    <xf numFmtId="0" fontId="110" fillId="57" borderId="0" applyNumberFormat="0" applyBorder="0" applyAlignment="0" applyProtection="0"/>
    <xf numFmtId="0" fontId="102" fillId="0" borderId="38">
      <alignment horizontal="center" vertical="center"/>
    </xf>
    <xf numFmtId="0" fontId="110" fillId="57" borderId="0" applyNumberFormat="0" applyBorder="0" applyAlignment="0" applyProtection="0"/>
    <xf numFmtId="0" fontId="102" fillId="0" borderId="38">
      <alignment horizontal="center"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79" fillId="6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79" fillId="65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09" fillId="0" borderId="0">
      <alignment vertical="center"/>
    </xf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110" fillId="57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99" fillId="0" borderId="16" applyNumberFormat="0" applyFill="0" applyProtection="0">
      <alignment horizontal="center"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 applyNumberFormat="0" applyFont="0" applyFill="0" applyBorder="0" applyAlignment="0" applyProtection="0">
      <alignment horizontal="left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9" fillId="0" borderId="0">
      <alignment vertical="center"/>
    </xf>
    <xf numFmtId="0" fontId="22" fillId="5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6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0" fillId="0" borderId="0" applyNumberFormat="0" applyFill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6" fillId="60" borderId="0" applyNumberFormat="0" applyBorder="0" applyAlignment="0" applyProtection="0"/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6" fillId="60" borderId="0" applyNumberFormat="0" applyBorder="0" applyAlignment="0" applyProtection="0"/>
    <xf numFmtId="0" fontId="124" fillId="0" borderId="11">
      <alignment horizontal="left" vertical="center"/>
    </xf>
    <xf numFmtId="0" fontId="22" fillId="50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22" fillId="5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110" fillId="15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125" fillId="11" borderId="0" applyNumberFormat="0" applyBorder="0" applyAlignment="0" applyProtection="0"/>
    <xf numFmtId="0" fontId="22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20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20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20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20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20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40" fontId="128" fillId="0" borderId="1" applyFill="0" applyAlignment="0" applyProtection="0">
      <alignment vertical="center"/>
    </xf>
    <xf numFmtId="178" fontId="120" fillId="67" borderId="0">
      <alignment vertical="center"/>
    </xf>
    <xf numFmtId="0" fontId="22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2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2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2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22" fillId="11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182" fontId="131" fillId="0" borderId="0"/>
    <xf numFmtId="0" fontId="22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0" fontId="22" fillId="11" borderId="0" applyNumberFormat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0" fontId="22" fillId="11" borderId="0" applyNumberFormat="0" applyBorder="0" applyAlignment="0" applyProtection="0"/>
    <xf numFmtId="0" fontId="110" fillId="65" borderId="0" applyNumberFormat="0" applyBorder="0" applyAlignment="0" applyProtection="0"/>
    <xf numFmtId="0" fontId="22" fillId="11" borderId="0" applyNumberFormat="0" applyBorder="0" applyAlignment="0" applyProtection="0"/>
    <xf numFmtId="0" fontId="110" fillId="65" borderId="0" applyNumberFormat="0" applyBorder="0" applyAlignment="0" applyProtection="0"/>
    <xf numFmtId="0" fontId="22" fillId="11" borderId="0" applyNumberFormat="0" applyBorder="0" applyAlignment="0" applyProtection="0"/>
    <xf numFmtId="0" fontId="110" fillId="65" borderId="0" applyNumberFormat="0" applyBorder="0" applyAlignment="0" applyProtection="0"/>
    <xf numFmtId="0" fontId="22" fillId="11" borderId="0" applyNumberFormat="0" applyBorder="0" applyAlignment="0" applyProtection="0"/>
    <xf numFmtId="0" fontId="110" fillId="65" borderId="0" applyNumberFormat="0" applyBorder="0" applyAlignment="0" applyProtection="0"/>
    <xf numFmtId="0" fontId="22" fillId="11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15" borderId="0" applyNumberFormat="0" applyBorder="0" applyAlignment="0" applyProtection="0"/>
    <xf numFmtId="0" fontId="43" fillId="0" borderId="0">
      <alignment vertical="center"/>
    </xf>
    <xf numFmtId="0" fontId="110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176" fontId="45" fillId="0" borderId="0" applyFont="0" applyFill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55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59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0" fillId="60" borderId="0" applyNumberFormat="0" applyBorder="0" applyAlignment="0" applyProtection="0"/>
    <xf numFmtId="0" fontId="22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22" fillId="15" borderId="0" applyNumberFormat="0" applyBorder="0" applyAlignment="0" applyProtection="0"/>
    <xf numFmtId="0" fontId="110" fillId="60" borderId="0" applyNumberFormat="0" applyBorder="0" applyAlignment="0" applyProtection="0"/>
    <xf numFmtId="0" fontId="45" fillId="0" borderId="0">
      <alignment vertical="center"/>
    </xf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10" fillId="60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59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27" fillId="0" borderId="0" applyNumberFormat="0" applyFill="0" applyBorder="0" applyAlignment="0" applyProtection="0"/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6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43" fillId="0" borderId="0">
      <alignment vertical="center"/>
    </xf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37" fontId="138" fillId="0" borderId="0"/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31" fillId="0" borderId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110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9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9" fillId="0" borderId="0">
      <alignment vertical="center"/>
    </xf>
    <xf numFmtId="0" fontId="26" fillId="0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101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79" fillId="9" borderId="0" applyNumberFormat="0" applyBorder="0" applyAlignment="0" applyProtection="0"/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79" fillId="9" borderId="0" applyNumberFormat="0" applyBorder="0" applyAlignment="0" applyProtection="0"/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4" fillId="0" borderId="11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4" fillId="0" borderId="11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124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47" applyNumberFormat="0" applyAlignment="0" applyProtection="0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22" fillId="56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27" fillId="0" borderId="0" applyNumberFormat="0" applyFill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22" fillId="15" borderId="0" applyNumberFormat="0" applyBorder="0" applyAlignment="0" applyProtection="0"/>
    <xf numFmtId="0" fontId="110" fillId="58" borderId="0" applyNumberFormat="0" applyBorder="0" applyAlignment="0" applyProtection="0"/>
    <xf numFmtId="0" fontId="22" fillId="15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0" fillId="0" borderId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10" fillId="51" borderId="0" applyNumberFormat="0" applyBorder="0" applyAlignment="0" applyProtection="0"/>
    <xf numFmtId="0" fontId="22" fillId="15" borderId="0" applyNumberFormat="0" applyBorder="0" applyAlignment="0" applyProtection="0"/>
    <xf numFmtId="0" fontId="110" fillId="51" borderId="0" applyNumberFormat="0" applyBorder="0" applyAlignment="0" applyProtection="0"/>
    <xf numFmtId="0" fontId="22" fillId="15" borderId="0" applyNumberFormat="0" applyBorder="0" applyAlignment="0" applyProtection="0"/>
    <xf numFmtId="0" fontId="110" fillId="51" borderId="0" applyNumberFormat="0" applyBorder="0" applyAlignment="0" applyProtection="0"/>
    <xf numFmtId="0" fontId="22" fillId="15" borderId="0" applyNumberFormat="0" applyBorder="0" applyAlignment="0" applyProtection="0"/>
    <xf numFmtId="0" fontId="110" fillId="51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02" fillId="0" borderId="38">
      <alignment horizontal="center" vertical="center"/>
    </xf>
    <xf numFmtId="0" fontId="22" fillId="15" borderId="0" applyNumberFormat="0" applyBorder="0" applyAlignment="0" applyProtection="0"/>
    <xf numFmtId="0" fontId="22" fillId="6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22" fillId="1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0" fontId="124" fillId="0" borderId="11">
      <alignment horizontal="left" vertical="center"/>
    </xf>
    <xf numFmtId="0" fontId="110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0" fillId="15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0" fillId="1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7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21" fillId="5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40" fontId="128" fillId="0" borderId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5" borderId="0" applyNumberFormat="0" applyBorder="0" applyAlignment="0" applyProtection="0"/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10" fillId="58" borderId="0" applyNumberFormat="0" applyBorder="0" applyAlignment="0" applyProtection="0"/>
    <xf numFmtId="178" fontId="134" fillId="73" borderId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8">
      <alignment horizontal="center"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8">
      <alignment horizontal="center" vertical="center"/>
    </xf>
    <xf numFmtId="0" fontId="110" fillId="55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1" fillId="0" borderId="40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79" fillId="61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22" fillId="50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22" fillId="50" borderId="0" applyNumberFormat="0" applyBorder="0" applyAlignment="0" applyProtection="0"/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110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8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0" fillId="58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79" fillId="74" borderId="0" applyNumberFormat="0" applyBorder="0" applyAlignment="0" applyProtection="0"/>
    <xf numFmtId="0" fontId="110" fillId="58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10" fillId="58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74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8" borderId="0" applyNumberFormat="0" applyBorder="0" applyAlignment="0" applyProtection="0"/>
    <xf numFmtId="0" fontId="22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22" fillId="6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79" fillId="7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79" fillId="7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115" fillId="0" borderId="42" applyNumberFormat="0" applyFill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79" fillId="15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5" fontId="112" fillId="0" borderId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15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79" fillId="9" borderId="0" applyNumberFormat="0" applyBorder="0" applyAlignment="0" applyProtection="0"/>
    <xf numFmtId="0" fontId="22" fillId="56" borderId="0" applyNumberFormat="0" applyBorder="0" applyAlignment="0" applyProtection="0"/>
    <xf numFmtId="179" fontId="131" fillId="0" borderId="0">
      <alignment vertical="center"/>
    </xf>
    <xf numFmtId="0" fontId="22" fillId="56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9" borderId="0" applyNumberFormat="0" applyBorder="0" applyAlignment="0" applyProtection="0"/>
    <xf numFmtId="0" fontId="124" fillId="0" borderId="11">
      <alignment horizontal="left" vertical="center"/>
    </xf>
    <xf numFmtId="0" fontId="22" fillId="56" borderId="0" applyNumberFormat="0" applyBorder="0" applyAlignment="0" applyProtection="0"/>
    <xf numFmtId="0" fontId="133" fillId="0" borderId="42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10" fontId="105" fillId="50" borderId="1" applyNumberFormat="0" applyBorder="0" applyAlignment="0" applyProtection="0"/>
    <xf numFmtId="0" fontId="116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9" fillId="0" borderId="0">
      <alignment vertical="center"/>
    </xf>
    <xf numFmtId="0" fontId="110" fillId="59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8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8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0" fillId="65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2" fillId="0" borderId="38">
      <alignment horizontal="center" vertical="center"/>
    </xf>
    <xf numFmtId="0" fontId="110" fillId="65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178" fontId="120" fillId="67" borderId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65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6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5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110" fillId="55" borderId="0" applyNumberFormat="0" applyBorder="0" applyAlignment="0" applyProtection="0"/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2" fillId="0" borderId="38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2" fillId="0" borderId="38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2" fillId="0" borderId="38">
      <alignment horizontal="center"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41" fillId="52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41" fillId="52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40" fontId="12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37" fontId="138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37" fontId="138" fillId="0" borderId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37" fontId="138" fillId="0" borderId="0"/>
    <xf numFmtId="0" fontId="110" fillId="5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4" fillId="15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79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110" fillId="55" borderId="0" applyNumberFormat="0" applyBorder="0" applyAlignment="0" applyProtection="0"/>
    <xf numFmtId="0" fontId="110" fillId="5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79" fillId="6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179" fontId="131" fillId="0" borderId="0"/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79" fontId="131" fillId="0" borderId="0"/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40" fontId="128" fillId="0" borderId="0" applyFill="0" applyAlignment="0" applyProtection="0">
      <alignment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0" fontId="124" fillId="0" borderId="11">
      <alignment horizontal="left"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177" fontId="37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79" fillId="6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83" fontId="131" fillId="0" borderId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182" fontId="131" fillId="0" borderId="0"/>
    <xf numFmtId="0" fontId="110" fillId="55" borderId="0" applyNumberFormat="0" applyBorder="0" applyAlignment="0" applyProtection="0"/>
    <xf numFmtId="0" fontId="109" fillId="0" borderId="0">
      <alignment vertical="center"/>
    </xf>
    <xf numFmtId="0" fontId="109" fillId="0" borderId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0" fillId="0" borderId="0">
      <alignment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32" fillId="0" borderId="0">
      <alignment horizontal="center" wrapText="1"/>
      <protection locked="0"/>
    </xf>
    <xf numFmtId="0" fontId="110" fillId="55" borderId="0" applyNumberFormat="0" applyBorder="0" applyAlignment="0" applyProtection="0"/>
    <xf numFmtId="0" fontId="132" fillId="0" borderId="0">
      <alignment horizontal="center" wrapText="1"/>
      <protection locked="0"/>
    </xf>
    <xf numFmtId="0" fontId="110" fillId="55" borderId="0" applyNumberFormat="0" applyBorder="0" applyAlignment="0" applyProtection="0"/>
    <xf numFmtId="0" fontId="102" fillId="0" borderId="38">
      <alignment horizontal="center"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9" fillId="0" borderId="0">
      <alignment vertical="center"/>
    </xf>
    <xf numFmtId="0" fontId="110" fillId="55" borderId="0" applyNumberFormat="0" applyBorder="0" applyAlignment="0" applyProtection="0"/>
    <xf numFmtId="184" fontId="37" fillId="0" borderId="0" applyFont="0" applyFill="0" applyBorder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5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6" fillId="0" borderId="0" applyNumberFormat="0" applyBorder="0" applyAlignment="0" applyProtection="0"/>
    <xf numFmtId="0" fontId="0" fillId="0" borderId="0"/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22" fillId="50" borderId="0" applyNumberFormat="0" applyBorder="0" applyAlignment="0" applyProtection="0"/>
    <xf numFmtId="0" fontId="43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13" fillId="51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82" fontId="131" fillId="0" borderId="0"/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79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182" fontId="13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182" fontId="131" fillId="0" borderId="0">
      <alignment vertical="center"/>
    </xf>
    <xf numFmtId="0" fontId="22" fillId="51" borderId="0" applyNumberFormat="0" applyBorder="0" applyAlignment="0" applyProtection="0"/>
    <xf numFmtId="182" fontId="131" fillId="0" borderId="0">
      <alignment vertical="center"/>
    </xf>
    <xf numFmtId="0" fontId="79" fillId="9" borderId="0" applyNumberFormat="0" applyBorder="0" applyAlignment="0" applyProtection="0"/>
    <xf numFmtId="0" fontId="22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/>
    <xf numFmtId="0" fontId="43" fillId="0" borderId="0">
      <alignment vertical="center"/>
    </xf>
    <xf numFmtId="0" fontId="22" fillId="51" borderId="0" applyNumberFormat="0" applyBorder="0" applyAlignment="0" applyProtection="0"/>
    <xf numFmtId="0" fontId="43" fillId="0" borderId="0">
      <alignment vertical="center"/>
    </xf>
    <xf numFmtId="0" fontId="22" fillId="51" borderId="0" applyNumberFormat="0" applyBorder="0" applyAlignment="0" applyProtection="0"/>
    <xf numFmtId="0" fontId="43" fillId="0" borderId="0">
      <alignment vertical="center"/>
    </xf>
    <xf numFmtId="0" fontId="22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82" fontId="131" fillId="0" borderId="0">
      <alignment vertical="center"/>
    </xf>
    <xf numFmtId="0" fontId="79" fillId="9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42" fillId="12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110" fillId="51" borderId="0" applyNumberFormat="0" applyBorder="0" applyAlignment="0" applyProtection="0"/>
    <xf numFmtId="0" fontId="110" fillId="59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0" fontId="110" fillId="59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15" fontId="112" fillId="0" borderId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/>
    <xf numFmtId="0" fontId="11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1" borderId="0" applyNumberFormat="0" applyBorder="0" applyAlignment="0" applyProtection="0"/>
    <xf numFmtId="0" fontId="102" fillId="0" borderId="38">
      <alignment horizontal="center" vertical="center"/>
    </xf>
    <xf numFmtId="0" fontId="110" fillId="51" borderId="0" applyNumberFormat="0" applyBorder="0" applyAlignment="0" applyProtection="0"/>
    <xf numFmtId="0" fontId="115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09" fillId="0" borderId="0">
      <alignment vertical="center"/>
    </xf>
    <xf numFmtId="0" fontId="114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59" borderId="0" applyNumberFormat="0" applyBorder="0" applyAlignment="0" applyProtection="0"/>
    <xf numFmtId="0" fontId="10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09" fillId="0" borderId="0">
      <alignment vertical="center"/>
    </xf>
    <xf numFmtId="0" fontId="123" fillId="51" borderId="36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40" fontId="128" fillId="0" borderId="1" applyFill="0" applyAlignment="0" applyProtection="0">
      <alignment vertical="center"/>
    </xf>
    <xf numFmtId="177" fontId="37" fillId="0" borderId="0"/>
    <xf numFmtId="40" fontId="128" fillId="0" borderId="1" applyFill="0" applyAlignment="0" applyProtection="0">
      <alignment vertical="center"/>
    </xf>
    <xf numFmtId="177" fontId="37" fillId="0" borderId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32" fillId="0" borderId="0">
      <alignment horizontal="center" wrapText="1"/>
      <protection locked="0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9" borderId="0" applyNumberFormat="0" applyBorder="0" applyAlignment="0" applyProtection="0"/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6" applyNumberFormat="0" applyAlignment="0" applyProtection="0">
      <alignment vertical="center"/>
    </xf>
    <xf numFmtId="0" fontId="110" fillId="59" borderId="0" applyNumberFormat="0" applyBorder="0" applyAlignment="0" applyProtection="0"/>
    <xf numFmtId="0" fontId="139" fillId="60" borderId="46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23" fillId="51" borderId="36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23" fillId="51" borderId="36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0" fillId="59" borderId="0" applyNumberFormat="0" applyBorder="0" applyAlignment="0" applyProtection="0"/>
    <xf numFmtId="0" fontId="110" fillId="59" borderId="0" applyNumberFormat="0" applyBorder="0" applyAlignment="0" applyProtection="0"/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10" fillId="59" borderId="0" applyNumberFormat="0" applyBorder="0" applyAlignment="0" applyProtection="0"/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09" fillId="6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10" fontId="105" fillId="50" borderId="1" applyNumberFormat="0" applyBorder="0" applyAlignment="0" applyProtection="0">
      <alignment vertical="center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132" fillId="0" borderId="0">
      <alignment horizontal="center" wrapText="1"/>
      <protection locked="0"/>
    </xf>
    <xf numFmtId="0" fontId="0" fillId="0" borderId="0">
      <alignment vertical="center"/>
    </xf>
    <xf numFmtId="0" fontId="108" fillId="0" borderId="1" applyNumberFormat="0" applyFill="0" applyAlignment="0" applyProtection="0">
      <alignment vertical="center"/>
    </xf>
    <xf numFmtId="0" fontId="129" fillId="69" borderId="1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5" fontId="37" fillId="0" borderId="0" applyFont="0" applyFill="0" applyBorder="0" applyAlignment="0" applyProtection="0">
      <alignment vertical="center"/>
    </xf>
    <xf numFmtId="179" fontId="131" fillId="0" borderId="0">
      <alignment vertical="center"/>
    </xf>
    <xf numFmtId="179" fontId="131" fillId="0" borderId="0">
      <alignment vertical="center"/>
    </xf>
    <xf numFmtId="179" fontId="131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79" fontId="131" fillId="0" borderId="0"/>
    <xf numFmtId="0" fontId="43" fillId="0" borderId="0">
      <alignment vertical="center"/>
    </xf>
    <xf numFmtId="0" fontId="0" fillId="0" borderId="0">
      <alignment vertical="center"/>
    </xf>
    <xf numFmtId="179" fontId="131" fillId="0" borderId="0"/>
    <xf numFmtId="179" fontId="131" fillId="0" borderId="0"/>
    <xf numFmtId="179" fontId="131" fillId="0" borderId="0"/>
    <xf numFmtId="179" fontId="131" fillId="0" borderId="0"/>
    <xf numFmtId="179" fontId="131" fillId="0" borderId="0"/>
    <xf numFmtId="0" fontId="43" fillId="0" borderId="0">
      <alignment vertical="center"/>
    </xf>
    <xf numFmtId="0" fontId="43" fillId="0" borderId="0">
      <alignment vertical="center"/>
    </xf>
    <xf numFmtId="179" fontId="131" fillId="0" borderId="0"/>
    <xf numFmtId="179" fontId="131" fillId="0" borderId="0"/>
    <xf numFmtId="186" fontId="37" fillId="0" borderId="0" applyFont="0" applyFill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82" fontId="131" fillId="0" borderId="0">
      <alignment vertical="center"/>
    </xf>
    <xf numFmtId="0" fontId="79" fillId="0" borderId="0" applyNumberFormat="0" applyBorder="0" applyAlignment="0" applyProtection="0"/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182" fontId="131" fillId="0" borderId="0">
      <alignment vertical="center"/>
    </xf>
    <xf numFmtId="0" fontId="43" fillId="0" borderId="0">
      <alignment vertical="center"/>
    </xf>
    <xf numFmtId="182" fontId="131" fillId="0" borderId="0"/>
    <xf numFmtId="0" fontId="43" fillId="0" borderId="0">
      <alignment vertical="center"/>
    </xf>
    <xf numFmtId="182" fontId="131" fillId="0" borderId="0"/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2" fontId="131" fillId="0" borderId="0"/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2" fontId="131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82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2" fontId="131" fillId="0" borderId="0">
      <alignment vertical="center"/>
    </xf>
    <xf numFmtId="15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15" fontId="112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15" fontId="112" fillId="0" borderId="0">
      <alignment vertical="center"/>
    </xf>
    <xf numFmtId="0" fontId="114" fillId="15" borderId="36" applyNumberFormat="0" applyAlignment="0" applyProtection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/>
    <xf numFmtId="0" fontId="43" fillId="0" borderId="0">
      <alignment vertical="center"/>
    </xf>
    <xf numFmtId="15" fontId="112" fillId="0" borderId="0"/>
    <xf numFmtId="0" fontId="123" fillId="51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15" fontId="112" fillId="0" borderId="0"/>
    <xf numFmtId="15" fontId="112" fillId="0" borderId="0"/>
    <xf numFmtId="15" fontId="112" fillId="0" borderId="0"/>
    <xf numFmtId="0" fontId="79" fillId="0" borderId="0" applyNumberFormat="0" applyBorder="0" applyAlignment="0" applyProtection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5" fontId="112" fillId="0" borderId="0">
      <alignment vertical="center"/>
    </xf>
    <xf numFmtId="177" fontId="37" fillId="0" borderId="0"/>
    <xf numFmtId="15" fontId="112" fillId="0" borderId="0">
      <alignment vertical="center"/>
    </xf>
    <xf numFmtId="0" fontId="114" fillId="15" borderId="36" applyNumberFormat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83" fontId="131" fillId="0" borderId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>
      <alignment vertical="center"/>
    </xf>
    <xf numFmtId="183" fontId="131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183" fontId="131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183" fontId="131" fillId="0" borderId="0"/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183" fontId="131" fillId="0" borderId="0"/>
    <xf numFmtId="0" fontId="109" fillId="0" borderId="0">
      <alignment vertical="center"/>
    </xf>
    <xf numFmtId="183" fontId="131" fillId="0" borderId="0"/>
    <xf numFmtId="183" fontId="131" fillId="0" borderId="0"/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3" fontId="131" fillId="0" borderId="0"/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83" fontId="131" fillId="0" borderId="0"/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83" fontId="131" fillId="0" borderId="0"/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83" fontId="131" fillId="0" borderId="0"/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left"/>
    </xf>
    <xf numFmtId="183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3" fontId="1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15" borderId="37" applyNumberFormat="0" applyAlignment="0" applyProtection="0">
      <alignment vertical="center"/>
    </xf>
    <xf numFmtId="0" fontId="0" fillId="0" borderId="0">
      <alignment vertical="center"/>
    </xf>
    <xf numFmtId="0" fontId="101" fillId="15" borderId="37" applyNumberFormat="0" applyAlignment="0" applyProtection="0">
      <alignment vertical="center"/>
    </xf>
    <xf numFmtId="0" fontId="0" fillId="0" borderId="0">
      <alignment vertical="center"/>
    </xf>
    <xf numFmtId="0" fontId="101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/>
    <xf numFmtId="10" fontId="105" fillId="50" borderId="1" applyNumberFormat="0" applyBorder="0" applyAlignment="0" applyProtection="0">
      <alignment vertical="center"/>
    </xf>
    <xf numFmtId="0" fontId="0" fillId="0" borderId="0"/>
    <xf numFmtId="0" fontId="109" fillId="0" borderId="0">
      <alignment vertical="center"/>
    </xf>
    <xf numFmtId="0" fontId="0" fillId="0" borderId="0"/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5" fillId="0" borderId="43" applyNumberFormat="0" applyFill="0" applyAlignment="0" applyProtection="0">
      <alignment vertical="center"/>
    </xf>
    <xf numFmtId="0" fontId="0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112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>
      <alignment vertical="center"/>
    </xf>
    <xf numFmtId="0" fontId="109" fillId="0" borderId="0">
      <alignment vertical="center"/>
    </xf>
    <xf numFmtId="0" fontId="0" fillId="0" borderId="0"/>
    <xf numFmtId="0" fontId="0" fillId="0" borderId="0"/>
    <xf numFmtId="0" fontId="43" fillId="0" borderId="0">
      <alignment vertical="center"/>
    </xf>
    <xf numFmtId="0" fontId="10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178" fontId="134" fillId="73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09" fillId="0" borderId="0" applyNumberFormat="0" applyFont="0" applyAlignment="0" applyProtection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38" fontId="105" fillId="15" borderId="0" applyNumberFormat="0" applyBorder="0" applyAlignment="0" applyProtection="0"/>
    <xf numFmtId="38" fontId="105" fillId="15" borderId="0" applyNumberFormat="0" applyBorder="0" applyAlignment="0" applyProtection="0"/>
    <xf numFmtId="38" fontId="105" fillId="15" borderId="0" applyNumberFormat="0" applyBorder="0" applyAlignment="0" applyProtection="0"/>
    <xf numFmtId="0" fontId="109" fillId="0" borderId="0">
      <alignment vertical="center"/>
    </xf>
    <xf numFmtId="38" fontId="105" fillId="1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38" fontId="105" fillId="1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38" fontId="105" fillId="15" borderId="0" applyNumberFormat="0" applyBorder="0" applyAlignment="0" applyProtection="0"/>
    <xf numFmtId="0" fontId="99" fillId="0" borderId="16" applyNumberFormat="0" applyFill="0" applyProtection="0">
      <alignment horizontal="center" vertical="center"/>
    </xf>
    <xf numFmtId="0" fontId="79" fillId="9" borderId="0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38" fontId="105" fillId="15" borderId="0" applyNumberFormat="0" applyBorder="0" applyAlignment="0" applyProtection="0">
      <alignment vertical="center"/>
    </xf>
    <xf numFmtId="0" fontId="124" fillId="0" borderId="47" applyNumberFormat="0" applyAlignment="0" applyProtection="0">
      <alignment horizontal="left" vertical="center"/>
    </xf>
    <xf numFmtId="0" fontId="45" fillId="0" borderId="0">
      <alignment vertical="center"/>
    </xf>
    <xf numFmtId="0" fontId="124" fillId="0" borderId="47" applyNumberFormat="0" applyAlignment="0" applyProtection="0">
      <alignment horizontal="left" vertical="center"/>
    </xf>
    <xf numFmtId="0" fontId="124" fillId="0" borderId="47" applyNumberFormat="0" applyAlignment="0" applyProtection="0">
      <alignment horizontal="left" vertical="center"/>
    </xf>
    <xf numFmtId="0" fontId="124" fillId="0" borderId="47" applyNumberFormat="0" applyAlignment="0" applyProtection="0">
      <alignment horizontal="left" vertical="center"/>
    </xf>
    <xf numFmtId="0" fontId="124" fillId="0" borderId="47" applyNumberFormat="0" applyAlignment="0" applyProtection="0">
      <alignment horizontal="left" vertical="center"/>
    </xf>
    <xf numFmtId="0" fontId="124" fillId="0" borderId="47" applyNumberFormat="0" applyAlignment="0" applyProtection="0">
      <alignment horizontal="left" vertical="center"/>
    </xf>
    <xf numFmtId="0" fontId="124" fillId="0" borderId="47" applyNumberFormat="0" applyAlignment="0" applyProtection="0">
      <alignment horizontal="left" vertical="center"/>
    </xf>
    <xf numFmtId="0" fontId="124" fillId="0" borderId="47" applyNumberFormat="0" applyAlignment="0" applyProtection="0">
      <alignment horizontal="left" vertical="center"/>
    </xf>
    <xf numFmtId="0" fontId="124" fillId="0" borderId="47" applyNumberFormat="0" applyAlignment="0" applyProtection="0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43" fillId="0" borderId="4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43" fillId="0" borderId="48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24" fillId="0" borderId="11">
      <alignment horizontal="left"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/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8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8" fillId="0" borderId="1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5" fillId="11" borderId="0" applyNumberFormat="0" applyBorder="0" applyAlignment="0" applyProtection="0"/>
    <xf numFmtId="0" fontId="79" fillId="15" borderId="0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3" fillId="51" borderId="36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6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6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6" applyNumberFormat="0" applyAlignment="0" applyProtection="0">
      <alignment vertical="center"/>
    </xf>
    <xf numFmtId="177" fontId="37" fillId="0" borderId="0"/>
    <xf numFmtId="0" fontId="124" fillId="0" borderId="11">
      <alignment horizontal="left" vertical="center"/>
    </xf>
    <xf numFmtId="0" fontId="123" fillId="51" borderId="36" applyNumberFormat="0" applyAlignment="0" applyProtection="0">
      <alignment vertical="center"/>
    </xf>
    <xf numFmtId="0" fontId="124" fillId="0" borderId="11">
      <alignment horizontal="left" vertical="center"/>
    </xf>
    <xf numFmtId="0" fontId="123" fillId="51" borderId="36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/>
    <xf numFmtId="40" fontId="108" fillId="0" borderId="1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5" fontId="112" fillId="0" borderId="0" applyFont="0" applyFill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4" fillId="15" borderId="36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5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44" fillId="52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99" fillId="0" borderId="16" applyNumberFormat="0" applyFill="0" applyProtection="0">
      <alignment horizontal="center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33" fillId="0" borderId="42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1" fillId="15" borderId="37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4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3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37" fontId="138" fillId="0" borderId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0" borderId="11">
      <alignment horizontal="left" vertical="center"/>
    </xf>
    <xf numFmtId="0" fontId="107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79" fillId="0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60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09" fillId="0" borderId="0">
      <alignment vertical="center"/>
    </xf>
    <xf numFmtId="0" fontId="109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6" fillId="68" borderId="44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6" fillId="68" borderId="44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26" fillId="9" borderId="0" applyNumberFormat="0" applyBorder="0" applyAlignment="0" applyProtection="0"/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6" fillId="68" borderId="44">
      <protection locked="0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12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5" borderId="0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0" fontId="124" fillId="0" borderId="11">
      <alignment horizontal="left" vertical="center"/>
    </xf>
    <xf numFmtId="0" fontId="79" fillId="0" borderId="0" applyNumberFormat="0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116" fillId="15" borderId="37" applyNumberFormat="0" applyAlignment="0" applyProtection="0">
      <alignment vertical="center"/>
    </xf>
    <xf numFmtId="0" fontId="124" fillId="0" borderId="11">
      <alignment horizontal="left" vertical="center"/>
    </xf>
    <xf numFmtId="0" fontId="43" fillId="0" borderId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79" fillId="9" borderId="0" applyNumberFormat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2" fillId="0" borderId="0"/>
    <xf numFmtId="0" fontId="109" fillId="0" borderId="0">
      <alignment vertical="center"/>
    </xf>
    <xf numFmtId="0" fontId="45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0" fontId="124" fillId="0" borderId="11">
      <alignment horizontal="left"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12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0" fontId="124" fillId="0" borderId="11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/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10" fontId="105" fillId="50" borderId="1" applyNumberFormat="0" applyBorder="0" applyAlignment="0" applyProtection="0"/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109" fillId="0" borderId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2" fillId="0" borderId="38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79" fillId="5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2" fillId="0" borderId="38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4" fillId="0" borderId="39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79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12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6" fillId="68" borderId="44">
      <protection locked="0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7" fontId="112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0" borderId="0"/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3" fillId="0" borderId="4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45" fillId="0" borderId="48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0" fontId="79" fillId="60" borderId="0" applyNumberFormat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2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79" fillId="0" borderId="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10" fontId="105" fillId="50" borderId="1" applyNumberFormat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27" fillId="0" borderId="0" applyNumberForma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09" fillId="0" borderId="0">
      <alignment vertical="center"/>
    </xf>
    <xf numFmtId="10" fontId="105" fillId="50" borderId="1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10" fontId="105" fillId="50" borderId="1" applyNumberFormat="0" applyBorder="0" applyAlignment="0" applyProtection="0">
      <alignment vertical="center"/>
    </xf>
    <xf numFmtId="178" fontId="134" fillId="73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/>
    <xf numFmtId="178" fontId="134" fillId="73" borderId="0"/>
    <xf numFmtId="0" fontId="123" fillId="51" borderId="36" applyNumberFormat="0" applyAlignment="0" applyProtection="0">
      <alignment vertical="center"/>
    </xf>
    <xf numFmtId="178" fontId="134" fillId="73" borderId="0"/>
    <xf numFmtId="0" fontId="123" fillId="51" borderId="36" applyNumberFormat="0" applyAlignment="0" applyProtection="0">
      <alignment vertical="center"/>
    </xf>
    <xf numFmtId="178" fontId="134" fillId="73" borderId="0"/>
    <xf numFmtId="0" fontId="123" fillId="51" borderId="36" applyNumberFormat="0" applyAlignment="0" applyProtection="0">
      <alignment vertical="center"/>
    </xf>
    <xf numFmtId="178" fontId="134" fillId="73" borderId="0"/>
    <xf numFmtId="0" fontId="123" fillId="51" borderId="36" applyNumberFormat="0" applyAlignment="0" applyProtection="0">
      <alignment vertical="center"/>
    </xf>
    <xf numFmtId="178" fontId="134" fillId="73" borderId="0"/>
    <xf numFmtId="0" fontId="123" fillId="51" borderId="36" applyNumberFormat="0" applyAlignment="0" applyProtection="0">
      <alignment vertical="center"/>
    </xf>
    <xf numFmtId="178" fontId="134" fillId="73" borderId="0"/>
    <xf numFmtId="0" fontId="123" fillId="51" borderId="36" applyNumberFormat="0" applyAlignment="0" applyProtection="0">
      <alignment vertical="center"/>
    </xf>
    <xf numFmtId="178" fontId="134" fillId="73" borderId="0"/>
    <xf numFmtId="0" fontId="123" fillId="51" borderId="36" applyNumberFormat="0" applyAlignment="0" applyProtection="0">
      <alignment vertical="center"/>
    </xf>
    <xf numFmtId="178" fontId="134" fillId="73" borderId="0"/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178" fontId="134" fillId="73" borderId="0"/>
    <xf numFmtId="0" fontId="37" fillId="0" borderId="16" applyNumberFormat="0" applyFill="0" applyProtection="0">
      <alignment horizontal="right"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178" fontId="134" fillId="73" borderId="0">
      <alignment vertical="center"/>
    </xf>
    <xf numFmtId="0" fontId="125" fillId="11" borderId="0" applyNumberFormat="0" applyBorder="0" applyAlignment="0" applyProtection="0"/>
    <xf numFmtId="178" fontId="134" fillId="73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178" fontId="120" fillId="67" borderId="0">
      <alignment vertical="center"/>
    </xf>
    <xf numFmtId="0" fontId="43" fillId="0" borderId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178" fontId="120" fillId="67" borderId="0"/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178" fontId="120" fillId="67" borderId="0"/>
    <xf numFmtId="0" fontId="116" fillId="15" borderId="37" applyNumberFormat="0" applyAlignment="0" applyProtection="0">
      <alignment vertical="center"/>
    </xf>
    <xf numFmtId="38" fontId="112" fillId="0" borderId="0" applyFont="0" applyFill="0" applyBorder="0" applyAlignment="0" applyProtection="0">
      <alignment vertical="center"/>
    </xf>
    <xf numFmtId="0" fontId="37" fillId="0" borderId="0" applyFon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188" fontId="112" fillId="0" borderId="0" applyFont="0" applyFill="0" applyBorder="0" applyAlignment="0" applyProtection="0">
      <alignment vertical="center"/>
    </xf>
    <xf numFmtId="189" fontId="37" fillId="0" borderId="0" applyFont="0" applyFill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0" fontId="109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0">
      <alignment vertical="center"/>
    </xf>
    <xf numFmtId="0" fontId="13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37" fontId="138" fillId="0" borderId="0"/>
    <xf numFmtId="0" fontId="79" fillId="59" borderId="0" applyNumberFormat="0" applyBorder="0" applyAlignment="0" applyProtection="0"/>
    <xf numFmtId="0" fontId="109" fillId="0" borderId="0">
      <alignment vertical="center"/>
    </xf>
    <xf numFmtId="37" fontId="138" fillId="0" borderId="0"/>
    <xf numFmtId="37" fontId="138" fillId="0" borderId="0"/>
    <xf numFmtId="0" fontId="109" fillId="0" borderId="0">
      <alignment vertical="center"/>
    </xf>
    <xf numFmtId="37" fontId="138" fillId="0" borderId="0"/>
    <xf numFmtId="0" fontId="109" fillId="0" borderId="0">
      <alignment vertical="center"/>
    </xf>
    <xf numFmtId="37" fontId="138" fillId="0" borderId="0"/>
    <xf numFmtId="37" fontId="138" fillId="0" borderId="0"/>
    <xf numFmtId="37" fontId="138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37" fontId="138" fillId="0" borderId="0">
      <alignment vertical="center"/>
    </xf>
    <xf numFmtId="0" fontId="43" fillId="0" borderId="0">
      <alignment vertical="center"/>
    </xf>
    <xf numFmtId="37" fontId="138" fillId="0" borderId="0">
      <alignment vertical="center"/>
    </xf>
    <xf numFmtId="177" fontId="37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0" fontId="45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0" fontId="79" fillId="60" borderId="0" applyNumberFormat="0" applyAlignment="0" applyProtection="0">
      <alignment vertical="center"/>
    </xf>
    <xf numFmtId="177" fontId="37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7" fontId="37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6" fillId="68" borderId="44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4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4">
      <alignment vertical="center"/>
      <protection locked="0"/>
    </xf>
    <xf numFmtId="40" fontId="108" fillId="0" borderId="1" applyFill="0" applyAlignment="0" applyProtection="0">
      <alignment vertical="center"/>
    </xf>
    <xf numFmtId="0" fontId="126" fillId="68" borderId="44">
      <alignment vertical="center"/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6" fillId="68" borderId="44">
      <protection locked="0"/>
    </xf>
    <xf numFmtId="40" fontId="108" fillId="0" borderId="1" applyFill="0" applyAlignment="0" applyProtection="0">
      <alignment vertical="center"/>
    </xf>
    <xf numFmtId="0" fontId="126" fillId="68" borderId="44"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79" fillId="0" borderId="0" applyNumberFormat="0" applyBorder="0" applyAlignment="0" applyProtection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0" borderId="40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8">
      <alignment horizont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8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2" fillId="0" borderId="38">
      <alignment horizontal="center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39" fillId="60" borderId="4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8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29" fillId="69" borderId="1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37" fillId="0" borderId="0" applyFont="0" applyFill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109" fillId="77" borderId="0" applyNumberFormat="0" applyBorder="0" applyAlignment="0" applyProtection="0"/>
    <xf numFmtId="40" fontId="108" fillId="0" borderId="1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109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79" fillId="0" borderId="0" applyNumberFormat="0" applyBorder="0" applyAlignment="0" applyProtection="0"/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18" fillId="74" borderId="0" applyNumberFormat="0" applyBorder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08" fillId="0" borderId="1" applyFill="0" applyAlignment="0" applyProtection="0">
      <alignment vertical="center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0" fontId="45" fillId="0" borderId="0"/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4" fontId="132" fillId="0" borderId="0">
      <alignment horizontal="center" vertical="center" wrapText="1"/>
      <protection locked="0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10" fontId="37" fillId="0" borderId="0" applyFont="0" applyFill="0" applyBorder="0" applyAlignment="0" applyProtection="0"/>
    <xf numFmtId="0" fontId="26" fillId="0" borderId="0" applyNumberFormat="0" applyBorder="0" applyAlignment="0" applyProtection="0"/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102" fillId="0" borderId="38">
      <alignment horizontal="center" vertical="center"/>
    </xf>
    <xf numFmtId="10" fontId="37" fillId="0" borderId="0" applyFont="0" applyFill="0" applyBorder="0" applyAlignment="0" applyProtection="0"/>
    <xf numFmtId="0" fontId="102" fillId="0" borderId="38">
      <alignment horizontal="center" vertical="center"/>
    </xf>
    <xf numFmtId="10" fontId="37" fillId="0" borderId="0" applyFont="0" applyFill="0" applyBorder="0" applyAlignment="0" applyProtection="0"/>
    <xf numFmtId="0" fontId="102" fillId="0" borderId="38">
      <alignment horizontal="center"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9" fillId="7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9" fontId="122" fillId="0" borderId="0" applyFont="0" applyFill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29" fillId="69" borderId="1" applyAlignment="0" applyProtection="0">
      <alignment vertical="center"/>
    </xf>
    <xf numFmtId="40" fontId="129" fillId="69" borderId="1" applyAlignment="0" applyProtection="0">
      <alignment vertical="center"/>
    </xf>
    <xf numFmtId="40" fontId="108" fillId="0" borderId="1" applyFill="0" applyAlignment="0" applyProtection="0">
      <alignment vertical="center"/>
    </xf>
    <xf numFmtId="40" fontId="129" fillId="69" borderId="1" applyAlignment="0" applyProtection="0">
      <alignment vertical="center"/>
    </xf>
    <xf numFmtId="40" fontId="10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9" fillId="69" borderId="1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90" fontId="37" fillId="0" borderId="0" applyFont="0" applyFill="0" applyProtection="0">
      <alignment vertical="center"/>
    </xf>
    <xf numFmtId="0" fontId="112" fillId="0" borderId="0" applyNumberFormat="0" applyFont="0" applyFill="0" applyBorder="0" applyAlignment="0" applyProtection="0">
      <alignment horizontal="left" vertical="center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09" fillId="0" borderId="0">
      <alignment vertical="center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0" fontId="112" fillId="0" borderId="0" applyNumberFormat="0" applyFont="0" applyFill="0" applyBorder="0" applyAlignment="0" applyProtection="0">
      <alignment horizontal="left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133" fillId="0" borderId="42" applyNumberFormat="0" applyFill="0" applyAlignment="0" applyProtection="0">
      <alignment vertical="center"/>
    </xf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79" fillId="0" borderId="0" applyNumberFormat="0" applyBorder="0" applyAlignment="0" applyProtection="0"/>
    <xf numFmtId="15" fontId="112" fillId="0" borderId="0" applyFont="0" applyFill="0" applyBorder="0" applyAlignment="0" applyProtection="0"/>
    <xf numFmtId="0" fontId="79" fillId="0" borderId="0" applyNumberFormat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15" fontId="112" fillId="0" borderId="0" applyFont="0" applyFill="0" applyBorder="0" applyAlignment="0" applyProtection="0"/>
    <xf numFmtId="0" fontId="109" fillId="0" borderId="0" applyNumberFormat="0" applyBorder="0" applyAlignment="0" applyProtection="0">
      <alignment vertical="center"/>
    </xf>
    <xf numFmtId="15" fontId="112" fillId="0" borderId="0" applyFont="0" applyFill="0" applyBorder="0" applyAlignment="0" applyProtection="0"/>
    <xf numFmtId="0" fontId="109" fillId="0" borderId="0" applyNumberFormat="0" applyBorder="0" applyAlignment="0" applyProtection="0">
      <alignment vertical="center"/>
    </xf>
    <xf numFmtId="15" fontId="112" fillId="0" borderId="0" applyFont="0" applyFill="0" applyBorder="0" applyAlignment="0" applyProtection="0"/>
    <xf numFmtId="0" fontId="45" fillId="0" borderId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15" fontId="112" fillId="0" borderId="0" applyFont="0" applyFill="0" applyBorder="0" applyAlignment="0" applyProtection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09" fillId="0" borderId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0" fillId="0" borderId="0">
      <alignment vertical="center"/>
    </xf>
    <xf numFmtId="4" fontId="112" fillId="0" borderId="0" applyFont="0" applyFill="0" applyBorder="0" applyAlignment="0" applyProtection="0"/>
    <xf numFmtId="0" fontId="0" fillId="0" borderId="0">
      <alignment vertical="center"/>
    </xf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07" fillId="74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107" fillId="74" borderId="0" applyNumberFormat="0" applyBorder="0" applyAlignment="0" applyProtection="0">
      <alignment vertical="center"/>
    </xf>
    <xf numFmtId="4" fontId="112" fillId="0" borderId="0" applyFont="0" applyFill="0" applyBorder="0" applyAlignment="0" applyProtection="0"/>
    <xf numFmtId="0" fontId="102" fillId="0" borderId="38">
      <alignment horizontal="center" vertical="center"/>
    </xf>
    <xf numFmtId="0" fontId="102" fillId="0" borderId="38">
      <alignment horizontal="center"/>
    </xf>
    <xf numFmtId="0" fontId="102" fillId="0" borderId="38">
      <alignment horizontal="center"/>
    </xf>
    <xf numFmtId="0" fontId="109" fillId="0" borderId="0">
      <alignment vertical="center"/>
    </xf>
    <xf numFmtId="0" fontId="102" fillId="0" borderId="38">
      <alignment horizontal="center"/>
    </xf>
    <xf numFmtId="0" fontId="102" fillId="0" borderId="38">
      <alignment horizontal="center"/>
    </xf>
    <xf numFmtId="0" fontId="102" fillId="0" borderId="38">
      <alignment horizontal="center"/>
    </xf>
    <xf numFmtId="0" fontId="102" fillId="0" borderId="38">
      <alignment horizont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79" fillId="0" borderId="0" applyNumberFormat="0" applyBorder="0" applyAlignment="0" applyProtection="0">
      <alignment vertical="center"/>
    </xf>
    <xf numFmtId="0" fontId="102" fillId="0" borderId="38">
      <alignment horizontal="center" vertical="center"/>
    </xf>
    <xf numFmtId="0" fontId="79" fillId="0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0" fontId="102" fillId="0" borderId="38">
      <alignment horizontal="center" vertical="center"/>
    </xf>
    <xf numFmtId="0" fontId="123" fillId="51" borderId="36" applyNumberFormat="0" applyAlignment="0" applyProtection="0">
      <alignment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23" fillId="51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23" fillId="51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23" fillId="51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12" fillId="0" borderId="0">
      <alignment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01" fillId="15" borderId="37" applyNumberFormat="0" applyAlignment="0" applyProtection="0">
      <alignment vertical="center"/>
    </xf>
    <xf numFmtId="0" fontId="102" fillId="0" borderId="38">
      <alignment horizontal="center" vertical="center"/>
    </xf>
    <xf numFmtId="0" fontId="101" fillId="15" borderId="37" applyNumberFormat="0" applyAlignment="0" applyProtection="0">
      <alignment vertical="center"/>
    </xf>
    <xf numFmtId="0" fontId="79" fillId="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13" fillId="51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13" fillId="51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13" fillId="51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109" fillId="0" borderId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79" fillId="9" borderId="0" applyNumberFormat="0" applyAlignment="0" applyProtection="0">
      <alignment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0" fontId="98" fillId="15" borderId="36" applyNumberFormat="0" applyAlignment="0" applyProtection="0">
      <alignment vertical="center"/>
    </xf>
    <xf numFmtId="0" fontId="102" fillId="0" borderId="38">
      <alignment horizontal="center"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02" fillId="0" borderId="38">
      <alignment horizontal="center"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02" fillId="0" borderId="38">
      <alignment horizontal="center" vertical="center"/>
    </xf>
    <xf numFmtId="0" fontId="116" fillId="15" borderId="37" applyNumberFormat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0" fontId="43" fillId="0" borderId="0">
      <alignment vertical="center"/>
    </xf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3" fontId="112" fillId="0" borderId="0" applyFont="0" applyFill="0" applyBorder="0" applyAlignment="0" applyProtection="0"/>
    <xf numFmtId="0" fontId="133" fillId="0" borderId="42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0" fontId="133" fillId="0" borderId="42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0" fontId="133" fillId="0" borderId="42" applyNumberFormat="0" applyFill="0" applyAlignment="0" applyProtection="0">
      <alignment vertical="center"/>
    </xf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3" fontId="112" fillId="0" borderId="0" applyFont="0" applyFill="0" applyBorder="0" applyAlignment="0" applyProtection="0"/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3" fontId="112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3" fontId="112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112" fillId="70" borderId="0" applyNumberFormat="0" applyFont="0" applyBorder="0" applyAlignment="0" applyProtection="0"/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2" fillId="70" borderId="0" applyNumberFormat="0" applyFont="0" applyBorder="0" applyAlignment="0" applyProtection="0">
      <alignment vertical="center"/>
    </xf>
    <xf numFmtId="0" fontId="126" fillId="68" borderId="44">
      <alignment vertical="center"/>
      <protection locked="0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01" fillId="15" borderId="37" applyNumberFormat="0" applyAlignment="0" applyProtection="0">
      <alignment vertical="center"/>
    </xf>
    <xf numFmtId="0" fontId="126" fillId="68" borderId="44">
      <alignment vertical="center"/>
      <protection locked="0"/>
    </xf>
    <xf numFmtId="0" fontId="126" fillId="68" borderId="44">
      <protection locked="0"/>
    </xf>
    <xf numFmtId="0" fontId="113" fillId="51" borderId="36" applyNumberFormat="0" applyAlignment="0" applyProtection="0">
      <alignment vertical="center"/>
    </xf>
    <xf numFmtId="0" fontId="126" fillId="68" borderId="44">
      <protection locked="0"/>
    </xf>
    <xf numFmtId="0" fontId="113" fillId="51" borderId="36" applyNumberFormat="0" applyAlignment="0" applyProtection="0">
      <alignment vertical="center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45" fillId="0" borderId="43" applyNumberFormat="0" applyFill="0" applyAlignment="0" applyProtection="0">
      <alignment vertical="center"/>
    </xf>
    <xf numFmtId="0" fontId="126" fillId="68" borderId="44">
      <protection locked="0"/>
    </xf>
    <xf numFmtId="0" fontId="45" fillId="0" borderId="43" applyNumberFormat="0" applyFill="0" applyAlignment="0" applyProtection="0">
      <alignment vertical="center"/>
    </xf>
    <xf numFmtId="0" fontId="126" fillId="68" borderId="44">
      <protection locked="0"/>
    </xf>
    <xf numFmtId="0" fontId="126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6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6" fillId="68" borderId="44">
      <protection locked="0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109" fillId="0" borderId="0">
      <alignment vertical="center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45" fillId="0" borderId="43" applyNumberFormat="0" applyFill="0" applyAlignment="0" applyProtection="0">
      <alignment vertical="center"/>
    </xf>
    <xf numFmtId="0" fontId="147" fillId="0" borderId="0">
      <alignment vertical="center"/>
    </xf>
    <xf numFmtId="0" fontId="45" fillId="0" borderId="0">
      <alignment vertical="center"/>
    </xf>
    <xf numFmtId="0" fontId="108" fillId="0" borderId="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4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4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4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4">
      <alignment vertical="center"/>
      <protection locked="0"/>
    </xf>
    <xf numFmtId="0" fontId="0" fillId="0" borderId="0">
      <alignment vertical="center"/>
    </xf>
    <xf numFmtId="0" fontId="79" fillId="0" borderId="0">
      <alignment vertical="center"/>
    </xf>
    <xf numFmtId="0" fontId="126" fillId="68" borderId="44">
      <alignment vertical="center"/>
      <protection locked="0"/>
    </xf>
    <xf numFmtId="0" fontId="0" fillId="0" borderId="0">
      <alignment vertical="center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6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6" fillId="68" borderId="44">
      <protection locked="0"/>
    </xf>
    <xf numFmtId="0" fontId="0" fillId="0" borderId="0">
      <alignment vertical="center"/>
    </xf>
    <xf numFmtId="0" fontId="126" fillId="68" borderId="44">
      <protection locked="0"/>
    </xf>
    <xf numFmtId="0" fontId="0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protection locked="0"/>
    </xf>
    <xf numFmtId="0" fontId="109" fillId="0" borderId="0">
      <alignment vertical="center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26" fillId="68" borderId="44">
      <alignment vertical="center"/>
      <protection locked="0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98" fillId="15" borderId="36" applyNumberFormat="0" applyAlignment="0" applyProtection="0">
      <alignment vertical="center"/>
    </xf>
    <xf numFmtId="0" fontId="126" fillId="68" borderId="44">
      <alignment vertical="center"/>
      <protection locked="0"/>
    </xf>
    <xf numFmtId="0" fontId="98" fillId="15" borderId="36" applyNumberFormat="0" applyAlignment="0" applyProtection="0">
      <alignment vertical="center"/>
    </xf>
    <xf numFmtId="0" fontId="126" fillId="68" borderId="44">
      <alignment vertical="center"/>
      <protection locked="0"/>
    </xf>
    <xf numFmtId="0" fontId="98" fillId="15" borderId="36" applyNumberFormat="0" applyAlignment="0" applyProtection="0">
      <alignment vertical="center"/>
    </xf>
    <xf numFmtId="0" fontId="126" fillId="68" borderId="44">
      <alignment vertical="center"/>
      <protection locked="0"/>
    </xf>
    <xf numFmtId="0" fontId="126" fillId="68" borderId="44">
      <protection locked="0"/>
    </xf>
    <xf numFmtId="0" fontId="126" fillId="68" borderId="44">
      <protection locked="0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26" fillId="68" borderId="44">
      <protection locked="0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109" fillId="0" borderId="0">
      <alignment vertical="center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126" fillId="68" borderId="44">
      <protection locked="0"/>
    </xf>
    <xf numFmtId="0" fontId="109" fillId="0" borderId="0">
      <alignment vertical="center"/>
    </xf>
    <xf numFmtId="0" fontId="98" fillId="15" borderId="36" applyNumberFormat="0" applyAlignment="0" applyProtection="0">
      <alignment vertical="center"/>
    </xf>
    <xf numFmtId="0" fontId="126" fillId="68" borderId="44">
      <alignment vertical="center"/>
      <protection locked="0"/>
    </xf>
    <xf numFmtId="0" fontId="126" fillId="68" borderId="44">
      <alignment vertical="center"/>
      <protection locked="0"/>
    </xf>
    <xf numFmtId="0" fontId="98" fillId="15" borderId="36" applyNumberFormat="0" applyAlignment="0" applyProtection="0">
      <alignment vertical="center"/>
    </xf>
    <xf numFmtId="0" fontId="126" fillId="68" borderId="44">
      <alignment vertical="center"/>
      <protection locked="0"/>
    </xf>
    <xf numFmtId="0" fontId="98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4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7" fillId="0" borderId="0" applyFont="0" applyFill="0" applyBorder="0" applyAlignment="0" applyProtection="0">
      <alignment vertical="center"/>
    </xf>
    <xf numFmtId="192" fontId="37" fillId="0" borderId="0" applyFont="0" applyFill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4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114" fillId="15" borderId="36" applyNumberFormat="0" applyAlignment="0" applyProtection="0">
      <alignment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9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5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0" fillId="0" borderId="45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130" fillId="0" borderId="45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09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09" fillId="0" borderId="0">
      <alignment vertical="center"/>
    </xf>
    <xf numFmtId="0" fontId="148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48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111" fillId="0" borderId="40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11" fillId="0" borderId="40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0" borderId="0"/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9" fillId="0" borderId="0">
      <alignment vertical="center"/>
    </xf>
    <xf numFmtId="0" fontId="113" fillId="51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45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2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9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5" fillId="0" borderId="42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09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33" fillId="0" borderId="42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9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4" fillId="15" borderId="36" applyNumberFormat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16" fillId="15" borderId="37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19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1" fillId="15" borderId="37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98" fillId="15" borderId="36" applyNumberFormat="0" applyAlignment="0" applyProtection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/>
    </xf>
    <xf numFmtId="0" fontId="98" fillId="15" borderId="36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99" fillId="0" borderId="16" applyNumberFormat="0" applyFill="0" applyProtection="0">
      <alignment horizont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109" fillId="0" borderId="0">
      <alignment vertical="center"/>
    </xf>
    <xf numFmtId="0" fontId="99" fillId="0" borderId="16" applyNumberFormat="0" applyFill="0" applyProtection="0">
      <alignment horizontal="center" vertical="center"/>
    </xf>
    <xf numFmtId="0" fontId="99" fillId="0" borderId="16" applyNumberFormat="0" applyFill="0" applyProtection="0">
      <alignment horizontal="center"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98" fillId="15" borderId="36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1" fillId="15" borderId="37" applyNumberFormat="0" applyAlignment="0" applyProtection="0">
      <alignment vertical="center"/>
    </xf>
    <xf numFmtId="0" fontId="109" fillId="0" borderId="0">
      <alignment vertical="center"/>
    </xf>
    <xf numFmtId="0" fontId="127" fillId="0" borderId="0" applyNumberFormat="0" applyFill="0" applyBorder="0" applyAlignment="0" applyProtection="0"/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0" fillId="0" borderId="0">
      <alignment vertical="center"/>
    </xf>
    <xf numFmtId="0" fontId="127" fillId="0" borderId="0" applyNumberFormat="0" applyFill="0" applyBorder="0" applyAlignment="0" applyProtection="0"/>
    <xf numFmtId="0" fontId="0" fillId="0" borderId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1" fillId="15" borderId="37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23" fillId="51" borderId="36" applyNumberFormat="0" applyAlignment="0" applyProtection="0">
      <alignment vertical="center"/>
    </xf>
    <xf numFmtId="0" fontId="104" fillId="0" borderId="39" applyNumberFormat="0" applyFill="0" applyProtection="0">
      <alignment horizontal="center" vertical="center"/>
    </xf>
    <xf numFmtId="0" fontId="123" fillId="51" borderId="36" applyNumberFormat="0" applyAlignment="0" applyProtection="0">
      <alignment vertical="center"/>
    </xf>
    <xf numFmtId="0" fontId="104" fillId="0" borderId="39" applyNumberFormat="0" applyFill="0" applyProtection="0">
      <alignment horizontal="center" vertical="center"/>
    </xf>
    <xf numFmtId="0" fontId="123" fillId="51" borderId="36" applyNumberFormat="0" applyAlignment="0" applyProtection="0">
      <alignment vertical="center"/>
    </xf>
    <xf numFmtId="0" fontId="104" fillId="0" borderId="39" applyNumberFormat="0" applyFill="0" applyProtection="0">
      <alignment horizontal="center" vertical="center"/>
    </xf>
    <xf numFmtId="0" fontId="123" fillId="51" borderId="36" applyNumberFormat="0" applyAlignment="0" applyProtection="0">
      <alignment vertical="center"/>
    </xf>
    <xf numFmtId="0" fontId="104" fillId="0" borderId="39" applyNumberFormat="0" applyFill="0" applyProtection="0">
      <alignment horizontal="center" vertical="center"/>
    </xf>
    <xf numFmtId="0" fontId="123" fillId="51" borderId="36" applyNumberFormat="0" applyAlignment="0" applyProtection="0">
      <alignment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/>
    </xf>
    <xf numFmtId="0" fontId="104" fillId="0" borderId="39" applyNumberFormat="0" applyFill="0" applyProtection="0">
      <alignment horizontal="center"/>
    </xf>
    <xf numFmtId="0" fontId="104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9" applyNumberFormat="0" applyFill="0" applyProtection="0">
      <alignment horizontal="center"/>
    </xf>
    <xf numFmtId="0" fontId="104" fillId="0" borderId="39" applyNumberFormat="0" applyFill="0" applyProtection="0">
      <alignment horizontal="center"/>
    </xf>
    <xf numFmtId="0" fontId="109" fillId="0" borderId="0">
      <alignment vertical="center"/>
    </xf>
    <xf numFmtId="0" fontId="104" fillId="0" borderId="39" applyNumberFormat="0" applyFill="0" applyProtection="0">
      <alignment horizontal="center"/>
    </xf>
    <xf numFmtId="0" fontId="104" fillId="0" borderId="39" applyNumberFormat="0" applyFill="0" applyProtection="0">
      <alignment horizontal="center"/>
    </xf>
    <xf numFmtId="0" fontId="104" fillId="0" borderId="39" applyNumberFormat="0" applyFill="0" applyProtection="0">
      <alignment horizontal="center"/>
    </xf>
    <xf numFmtId="0" fontId="104" fillId="0" borderId="39" applyNumberFormat="0" applyFill="0" applyProtection="0">
      <alignment horizontal="center"/>
    </xf>
    <xf numFmtId="0" fontId="104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4" fillId="0" borderId="39" applyNumberFormat="0" applyFill="0" applyProtection="0">
      <alignment horizont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04" fillId="0" borderId="39" applyNumberFormat="0" applyFill="0" applyProtection="0">
      <alignment horizontal="center"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13" fillId="51" borderId="36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44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2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/>
    <xf numFmtId="0" fontId="0" fillId="0" borderId="0">
      <alignment vertical="center"/>
    </xf>
    <xf numFmtId="0" fontId="141" fillId="52" borderId="0" applyNumberFormat="0" applyBorder="0" applyAlignment="0" applyProtection="0"/>
    <xf numFmtId="40" fontId="128" fillId="0" borderId="1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/>
    <xf numFmtId="0" fontId="141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/>
    <xf numFmtId="0" fontId="109" fillId="0" borderId="0">
      <alignment vertical="center"/>
    </xf>
    <xf numFmtId="0" fontId="45" fillId="0" borderId="0"/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26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/>
    <xf numFmtId="0" fontId="109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40" fontId="128" fillId="0" borderId="1" applyFill="0" applyAlignment="0" applyProtection="0">
      <alignment vertical="center"/>
    </xf>
    <xf numFmtId="0" fontId="109" fillId="0" borderId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9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12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79" fillId="0" borderId="0" applyNumberFormat="0" applyBorder="0" applyAlignment="0" applyProtection="0"/>
    <xf numFmtId="0" fontId="79" fillId="0" borderId="0" applyNumberFormat="0" applyBorder="0" applyAlignment="0" applyProtection="0"/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6" fillId="15" borderId="37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65" borderId="0" applyNumberFormat="0" applyBorder="0" applyAlignment="0" applyProtection="0"/>
    <xf numFmtId="0" fontId="109" fillId="0" borderId="0">
      <alignment vertical="center"/>
    </xf>
    <xf numFmtId="0" fontId="79" fillId="6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2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3" fillId="51" borderId="36" applyNumberFormat="0" applyAlignment="0" applyProtection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112" fillId="0" borderId="0">
      <alignment vertical="center"/>
    </xf>
    <xf numFmtId="0" fontId="79" fillId="55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2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0" borderId="0"/>
    <xf numFmtId="0" fontId="112" fillId="0" borderId="0">
      <alignment vertical="center"/>
    </xf>
    <xf numFmtId="0" fontId="101" fillId="15" borderId="37" applyNumberFormat="0" applyAlignment="0" applyProtection="0">
      <alignment vertical="center"/>
    </xf>
    <xf numFmtId="0" fontId="0" fillId="0" borderId="0"/>
    <xf numFmtId="0" fontId="109" fillId="0" borderId="0">
      <alignment vertical="center"/>
    </xf>
    <xf numFmtId="0" fontId="0" fillId="0" borderId="0"/>
    <xf numFmtId="0" fontId="112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0" fillId="0" borderId="0"/>
    <xf numFmtId="0" fontId="112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/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9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109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7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9" fillId="59" borderId="0" applyNumberFormat="0" applyBorder="0" applyAlignment="0" applyProtection="0"/>
    <xf numFmtId="0" fontId="10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4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8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79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79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15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5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114" fillId="15" borderId="36" applyNumberFormat="0" applyAlignment="0" applyProtection="0">
      <alignment vertical="center"/>
    </xf>
    <xf numFmtId="3" fontId="150" fillId="0" borderId="0" applyNumberFormat="0" applyFill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7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7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79" fillId="0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/>
    <xf numFmtId="0" fontId="109" fillId="0" borderId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109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7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79" fillId="60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123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116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9" fillId="60" borderId="0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79" fillId="58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51" borderId="0" applyNumberFormat="0" applyBorder="0" applyAlignment="0" applyProtection="0"/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0" borderId="0" applyNumberFormat="0" applyBorder="0" applyAlignment="0" applyProtection="0">
      <alignment vertical="center"/>
    </xf>
    <xf numFmtId="0" fontId="79" fillId="55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113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76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8" borderId="0" applyNumberFormat="0" applyBorder="0" applyAlignment="0" applyProtection="0"/>
    <xf numFmtId="0" fontId="79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9" fillId="0" borderId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101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6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98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114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125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60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9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79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51" borderId="36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79" fillId="0" borderId="0" applyNumberFormat="0" applyBorder="0" applyAlignment="0" applyProtection="0"/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49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136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/>
    <xf numFmtId="0" fontId="109" fillId="0" borderId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09" fillId="0" borderId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09" fillId="0" borderId="0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25" fillId="11" borderId="0" applyNumberFormat="0" applyBorder="0" applyAlignment="0" applyProtection="0"/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125" fillId="1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52" fillId="60" borderId="4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9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10" fontId="112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119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4" fillId="15" borderId="3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9" fillId="77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9" fillId="77" borderId="0" applyNumberFormat="0" applyBorder="0" applyAlignment="0" applyProtection="0"/>
    <xf numFmtId="0" fontId="98" fillId="15" borderId="36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114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98" fillId="15" borderId="3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09" fillId="0" borderId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09" fillId="0" borderId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39" fillId="60" borderId="46" applyNumberFormat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04" fillId="0" borderId="39" applyNumberFormat="0" applyFill="0" applyProtection="0">
      <alignment horizontal="left" vertical="center"/>
    </xf>
    <xf numFmtId="0" fontId="104" fillId="0" borderId="39" applyNumberFormat="0" applyFill="0" applyProtection="0">
      <alignment horizontal="left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43" fillId="0" borderId="48" applyNumberFormat="0" applyFill="0" applyAlignment="0" applyProtection="0">
      <alignment vertical="center"/>
    </xf>
    <xf numFmtId="0" fontId="143" fillId="0" borderId="48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8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9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/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6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/>
    <xf numFmtId="0" fontId="109" fillId="0" borderId="0">
      <alignment vertical="center"/>
    </xf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09" fillId="78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8" borderId="0" applyNumberFormat="0" applyBorder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109" fillId="77" borderId="0" applyNumberFormat="0" applyBorder="0" applyAlignment="0" applyProtection="0"/>
    <xf numFmtId="0" fontId="109" fillId="77" borderId="0" applyNumberFormat="0" applyBorder="0" applyAlignment="0" applyProtection="0"/>
    <xf numFmtId="0" fontId="109" fillId="77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09" fillId="77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2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1" borderId="0" applyNumberFormat="0" applyBorder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07" fillId="71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8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9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75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07" fillId="64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9" fillId="0" borderId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8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55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0" fontId="107" fillId="74" borderId="0" applyNumberFormat="0" applyBorder="0" applyAlignment="0" applyProtection="0">
      <alignment vertical="center"/>
    </xf>
    <xf numFmtId="193" fontId="37" fillId="0" borderId="39" applyFill="0" applyProtection="0">
      <alignment horizontal="right" vertical="center"/>
    </xf>
    <xf numFmtId="193" fontId="37" fillId="0" borderId="39" applyFill="0" applyProtection="0">
      <alignment horizontal="righ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79" fillId="9" borderId="0" applyNumberFormat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09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/>
    </xf>
    <xf numFmtId="0" fontId="109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09" fillId="0" borderId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46" fillId="12" borderId="0" applyNumberFormat="0" applyBorder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79" fillId="9" borderId="0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79" fillId="6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79" fillId="60" borderId="0" applyNumberFormat="0" applyBorder="0" applyAlignment="0" applyProtection="0"/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9" fillId="0" borderId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79" fillId="0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9" fillId="0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01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6" fillId="15" borderId="37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79" fillId="60" borderId="0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79" fillId="61" borderId="0" applyNumberFormat="0" applyBorder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9" fillId="0" borderId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09" fillId="0" borderId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40" fontId="128" fillId="0" borderId="1" applyFill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2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0" fontId="113" fillId="51" borderId="36" applyNumberFormat="0" applyAlignment="0" applyProtection="0">
      <alignment vertical="center"/>
    </xf>
    <xf numFmtId="1" fontId="37" fillId="0" borderId="39" applyFill="0" applyProtection="0">
      <alignment horizontal="center" vertical="center"/>
    </xf>
    <xf numFmtId="1" fontId="37" fillId="0" borderId="39" applyFill="0" applyProtection="0">
      <alignment horizont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10" fontId="112" fillId="0" borderId="0" applyNumberFormat="0" applyBorder="0" applyAlignment="0" applyProtection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22" fillId="0" borderId="0">
      <alignment vertical="center"/>
    </xf>
    <xf numFmtId="0" fontId="112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109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9" fillId="0" borderId="0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/>
  </cellStyleXfs>
  <cellXfs count="1026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4" fontId="8" fillId="0" borderId="0" xfId="0" applyNumberFormat="1" applyFont="1" applyFill="1" applyBorder="1" applyAlignment="1">
      <alignment horizontal="left" vertical="center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196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94" fontId="8" fillId="0" borderId="0" xfId="1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194" fontId="9" fillId="0" borderId="0" xfId="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201" fontId="0" fillId="0" borderId="0" xfId="3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96" fontId="3" fillId="0" borderId="0" xfId="0" applyNumberFormat="1" applyFont="1" applyFill="1" applyBorder="1" applyAlignment="1">
      <alignment horizontal="center" vertical="center" wrapText="1"/>
    </xf>
    <xf numFmtId="197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 wrapText="1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 wrapText="1"/>
    </xf>
    <xf numFmtId="202" fontId="3" fillId="0" borderId="0" xfId="0" applyNumberFormat="1" applyFont="1" applyFill="1" applyBorder="1" applyAlignment="1">
      <alignment horizontal="center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203" fontId="20" fillId="2" borderId="0" xfId="0" applyNumberFormat="1" applyFont="1" applyFill="1" applyBorder="1" applyAlignment="1">
      <alignment horizontal="center" vertical="center"/>
    </xf>
    <xf numFmtId="43" fontId="20" fillId="2" borderId="0" xfId="0" applyNumberFormat="1" applyFont="1" applyFill="1" applyBorder="1" applyAlignment="1">
      <alignment horizontal="center" vertical="center"/>
    </xf>
    <xf numFmtId="43" fontId="0" fillId="2" borderId="0" xfId="0" applyNumberFormat="1" applyFont="1" applyFill="1" applyBorder="1">
      <alignment vertical="center"/>
    </xf>
    <xf numFmtId="198" fontId="0" fillId="2" borderId="0" xfId="3" applyNumberFormat="1" applyFont="1" applyFill="1" applyBorder="1">
      <alignment vertical="center"/>
    </xf>
    <xf numFmtId="14" fontId="0" fillId="2" borderId="0" xfId="0" applyNumberFormat="1" applyFont="1" applyFill="1" applyBorder="1" applyAlignment="1">
      <alignment vertical="center" wrapText="1"/>
    </xf>
    <xf numFmtId="0" fontId="0" fillId="2" borderId="0" xfId="0" applyNumberFormat="1" applyFont="1" applyFill="1" applyBorder="1">
      <alignment vertical="center"/>
    </xf>
    <xf numFmtId="0" fontId="0" fillId="5" borderId="0" xfId="0" applyFont="1" applyFill="1" applyBorder="1">
      <alignment vertical="center"/>
    </xf>
    <xf numFmtId="203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>
      <alignment vertical="center"/>
    </xf>
    <xf numFmtId="43" fontId="0" fillId="0" borderId="0" xfId="0" applyNumberFormat="1" applyFont="1" applyFill="1" applyBorder="1">
      <alignment vertical="center"/>
    </xf>
    <xf numFmtId="198" fontId="0" fillId="0" borderId="0" xfId="3" applyNumberFormat="1" applyFont="1" applyFill="1" applyBorder="1" applyAlignment="1">
      <alignment horizontal="left" vertical="center"/>
    </xf>
    <xf numFmtId="198" fontId="0" fillId="2" borderId="0" xfId="3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center" vertical="center" wrapText="1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197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204" fontId="21" fillId="2" borderId="0" xfId="0" applyNumberFormat="1" applyFont="1" applyFill="1" applyBorder="1" applyAlignment="1" applyProtection="1">
      <alignment horizontal="center" vertical="center" wrapText="1"/>
    </xf>
    <xf numFmtId="43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>
      <alignment vertical="center"/>
    </xf>
    <xf numFmtId="201" fontId="0" fillId="0" borderId="0" xfId="3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6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0" fontId="20" fillId="2" borderId="0" xfId="0" applyFont="1" applyFill="1" applyBorder="1" applyAlignment="1" applyProtection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6" fontId="0" fillId="2" borderId="0" xfId="0" applyNumberFormat="1" applyFont="1" applyFill="1" applyBorder="1" applyAlignment="1">
      <alignment horizontal="center" vertical="center"/>
    </xf>
    <xf numFmtId="198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205" fontId="0" fillId="2" borderId="0" xfId="3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6" borderId="0" xfId="0" applyNumberFormat="1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199" fontId="20" fillId="6" borderId="0" xfId="0" applyNumberFormat="1" applyFont="1" applyFill="1" applyBorder="1" applyAlignment="1" applyProtection="1">
      <alignment horizontal="center" vertical="center" shrinkToFit="1"/>
    </xf>
    <xf numFmtId="0" fontId="20" fillId="6" borderId="0" xfId="0" applyFont="1" applyFill="1" applyBorder="1" applyAlignment="1" applyProtection="1">
      <alignment horizontal="center" vertical="center"/>
    </xf>
    <xf numFmtId="43" fontId="0" fillId="6" borderId="0" xfId="0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14" fontId="0" fillId="5" borderId="0" xfId="0" applyNumberFormat="1" applyFont="1" applyFill="1" applyBorder="1" applyAlignment="1">
      <alignment horizontal="center" vertical="center"/>
    </xf>
    <xf numFmtId="199" fontId="20" fillId="5" borderId="0" xfId="0" applyNumberFormat="1" applyFont="1" applyFill="1" applyBorder="1" applyAlignment="1" applyProtection="1">
      <alignment horizontal="center" vertical="center" shrinkToFit="1"/>
    </xf>
    <xf numFmtId="0" fontId="20" fillId="5" borderId="0" xfId="0" applyFont="1" applyFill="1" applyBorder="1" applyAlignment="1" applyProtection="1">
      <alignment horizontal="center" vertical="center"/>
    </xf>
    <xf numFmtId="43" fontId="0" fillId="5" borderId="0" xfId="0" applyNumberFormat="1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49" fontId="20" fillId="6" borderId="0" xfId="0" applyNumberFormat="1" applyFont="1" applyFill="1" applyBorder="1" applyAlignment="1" applyProtection="1">
      <alignment horizontal="center" vertical="center" shrinkToFit="1"/>
    </xf>
    <xf numFmtId="14" fontId="0" fillId="0" borderId="0" xfId="0" applyNumberFormat="1" applyFont="1" applyBorder="1" applyAlignment="1">
      <alignment horizontal="center" vertical="center"/>
    </xf>
    <xf numFmtId="206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7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207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207" fontId="3" fillId="0" borderId="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center" vertical="center"/>
    </xf>
    <xf numFmtId="207" fontId="0" fillId="2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9" fontId="3" fillId="0" borderId="0" xfId="3" applyNumberFormat="1" applyFont="1" applyFill="1" applyBorder="1" applyAlignment="1" applyProtection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 applyProtection="1">
      <alignment horizontal="center" vertical="center" shrinkToFit="1"/>
    </xf>
    <xf numFmtId="0" fontId="22" fillId="2" borderId="0" xfId="0" applyFont="1" applyFill="1" applyBorder="1" applyAlignment="1" applyProtection="1">
      <alignment horizontal="center" vertical="center"/>
    </xf>
    <xf numFmtId="203" fontId="0" fillId="2" borderId="0" xfId="0" applyNumberFormat="1" applyFont="1" applyFill="1" applyBorder="1" applyAlignment="1">
      <alignment horizontal="center" vertical="center"/>
    </xf>
    <xf numFmtId="199" fontId="22" fillId="2" borderId="0" xfId="0" applyNumberFormat="1" applyFont="1" applyFill="1" applyBorder="1" applyAlignment="1" applyProtection="1">
      <alignment horizontal="center" vertical="center" shrinkToFit="1"/>
    </xf>
    <xf numFmtId="49" fontId="23" fillId="2" borderId="0" xfId="0" applyNumberFormat="1" applyFont="1" applyFill="1" applyBorder="1" applyAlignment="1" applyProtection="1">
      <alignment horizontal="center" vertical="center" shrinkToFit="1"/>
    </xf>
    <xf numFmtId="195" fontId="0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 wrapText="1"/>
    </xf>
    <xf numFmtId="49" fontId="22" fillId="5" borderId="0" xfId="0" applyNumberFormat="1" applyFont="1" applyFill="1" applyBorder="1" applyAlignment="1" applyProtection="1">
      <alignment horizontal="center" vertical="center" shrinkToFit="1"/>
    </xf>
    <xf numFmtId="0" fontId="22" fillId="5" borderId="0" xfId="0" applyFont="1" applyFill="1" applyBorder="1" applyAlignment="1" applyProtection="1">
      <alignment horizontal="center" vertical="center"/>
    </xf>
    <xf numFmtId="207" fontId="0" fillId="5" borderId="0" xfId="0" applyNumberFormat="1" applyFont="1" applyFill="1" applyBorder="1" applyAlignment="1">
      <alignment horizontal="center" vertical="center"/>
    </xf>
    <xf numFmtId="196" fontId="0" fillId="5" borderId="0" xfId="0" applyNumberFormat="1" applyFont="1" applyFill="1" applyBorder="1" applyAlignment="1">
      <alignment horizontal="center" vertical="center"/>
    </xf>
    <xf numFmtId="198" fontId="24" fillId="2" borderId="0" xfId="3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 applyProtection="1">
      <alignment horizontal="center" vertical="center" wrapText="1"/>
    </xf>
    <xf numFmtId="205" fontId="0" fillId="2" borderId="0" xfId="3" applyNumberFormat="1" applyFont="1" applyFill="1" applyBorder="1" applyAlignment="1">
      <alignment horizontal="center" vertical="center" wrapText="1"/>
    </xf>
    <xf numFmtId="208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49" fontId="23" fillId="7" borderId="0" xfId="0" applyNumberFormat="1" applyFont="1" applyFill="1" applyBorder="1" applyAlignment="1" applyProtection="1">
      <alignment horizontal="center" vertical="center" shrinkToFit="1"/>
    </xf>
    <xf numFmtId="0" fontId="22" fillId="7" borderId="0" xfId="0" applyFont="1" applyFill="1" applyBorder="1" applyAlignment="1" applyProtection="1">
      <alignment horizontal="center" vertical="center"/>
    </xf>
    <xf numFmtId="49" fontId="22" fillId="7" borderId="0" xfId="0" applyNumberFormat="1" applyFont="1" applyFill="1" applyBorder="1" applyAlignment="1" applyProtection="1">
      <alignment horizontal="center" vertical="center" shrinkToFit="1"/>
    </xf>
    <xf numFmtId="199" fontId="22" fillId="7" borderId="0" xfId="0" applyNumberFormat="1" applyFont="1" applyFill="1" applyBorder="1" applyAlignment="1" applyProtection="1">
      <alignment horizontal="center" vertical="center" shrinkToFit="1"/>
    </xf>
    <xf numFmtId="0" fontId="3" fillId="3" borderId="0" xfId="0" applyFont="1" applyFill="1" applyAlignment="1">
      <alignment vertical="center"/>
    </xf>
    <xf numFmtId="207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209" fontId="3" fillId="0" borderId="0" xfId="0" applyNumberFormat="1" applyFont="1" applyFill="1" applyBorder="1" applyAlignment="1">
      <alignment horizontal="center" vertical="center"/>
    </xf>
    <xf numFmtId="210" fontId="3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210" fontId="3" fillId="0" borderId="0" xfId="0" applyNumberFormat="1" applyFont="1" applyFill="1" applyBorder="1" applyAlignment="1">
      <alignment horizontal="center" vertical="center" wrapText="1"/>
    </xf>
    <xf numFmtId="197" fontId="3" fillId="3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96" fontId="25" fillId="0" borderId="0" xfId="0" applyNumberFormat="1" applyFont="1" applyFill="1" applyBorder="1" applyAlignment="1">
      <alignment horizontal="center" vertical="center"/>
    </xf>
    <xf numFmtId="209" fontId="25" fillId="0" borderId="0" xfId="0" applyNumberFormat="1" applyFont="1" applyFill="1" applyBorder="1" applyAlignment="1">
      <alignment horizontal="center" vertical="center"/>
    </xf>
    <xf numFmtId="210" fontId="25" fillId="0" borderId="0" xfId="0" applyNumberFormat="1" applyFont="1" applyFill="1" applyBorder="1" applyAlignment="1">
      <alignment horizontal="center" vertical="center" wrapText="1"/>
    </xf>
    <xf numFmtId="43" fontId="25" fillId="0" borderId="0" xfId="0" applyNumberFormat="1" applyFont="1" applyFill="1" applyBorder="1" applyAlignment="1">
      <alignment horizontal="center" vertical="center"/>
    </xf>
    <xf numFmtId="194" fontId="25" fillId="0" borderId="0" xfId="0" applyNumberFormat="1" applyFont="1" applyFill="1" applyBorder="1" applyAlignment="1">
      <alignment horizontal="center" vertical="center"/>
    </xf>
    <xf numFmtId="195" fontId="25" fillId="0" borderId="0" xfId="0" applyNumberFormat="1" applyFont="1" applyFill="1" applyBorder="1" applyAlignment="1">
      <alignment horizontal="center" vertical="center"/>
    </xf>
    <xf numFmtId="197" fontId="25" fillId="0" borderId="0" xfId="0" applyNumberFormat="1" applyFont="1" applyFill="1" applyBorder="1" applyAlignment="1">
      <alignment horizontal="center" vertical="center"/>
    </xf>
    <xf numFmtId="202" fontId="25" fillId="0" borderId="0" xfId="0" applyNumberFormat="1" applyFont="1" applyFill="1" applyBorder="1" applyAlignment="1">
      <alignment horizontal="center" vertical="center"/>
    </xf>
    <xf numFmtId="201" fontId="25" fillId="4" borderId="0" xfId="3" applyNumberFormat="1" applyFont="1" applyFill="1" applyBorder="1" applyAlignment="1">
      <alignment horizontal="center" vertical="center" wrapText="1"/>
    </xf>
    <xf numFmtId="198" fontId="25" fillId="4" borderId="0" xfId="3" applyNumberFormat="1" applyFont="1" applyFill="1" applyBorder="1" applyAlignment="1">
      <alignment horizontal="center" vertical="center" wrapText="1"/>
    </xf>
    <xf numFmtId="197" fontId="25" fillId="0" borderId="0" xfId="0" applyNumberFormat="1" applyFont="1" applyFill="1" applyBorder="1" applyAlignment="1">
      <alignment horizontal="center" vertical="center" wrapText="1"/>
    </xf>
    <xf numFmtId="197" fontId="25" fillId="3" borderId="0" xfId="0" applyNumberFormat="1" applyFont="1" applyFill="1" applyBorder="1" applyAlignment="1">
      <alignment horizontal="center" vertical="center" wrapText="1"/>
    </xf>
    <xf numFmtId="197" fontId="25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99" fontId="0" fillId="7" borderId="0" xfId="0" applyNumberFormat="1" applyFont="1" applyFill="1" applyBorder="1" applyAlignment="1" applyProtection="1">
      <alignment horizontal="center" vertical="center" shrinkToFit="1"/>
    </xf>
    <xf numFmtId="196" fontId="28" fillId="0" borderId="0" xfId="0" applyNumberFormat="1" applyFont="1" applyFill="1" applyBorder="1" applyAlignment="1">
      <alignment horizontal="center" vertical="center"/>
    </xf>
    <xf numFmtId="194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 wrapText="1"/>
    </xf>
    <xf numFmtId="197" fontId="0" fillId="0" borderId="0" xfId="0" applyNumberFormat="1" applyFont="1" applyFill="1" applyBorder="1" applyAlignment="1">
      <alignment horizontal="center" vertical="center" wrapText="1"/>
    </xf>
    <xf numFmtId="49" fontId="0" fillId="7" borderId="0" xfId="0" applyNumberFormat="1" applyFont="1" applyFill="1" applyBorder="1" applyAlignment="1" applyProtection="1">
      <alignment horizontal="center" vertical="center" shrinkToFit="1"/>
    </xf>
    <xf numFmtId="196" fontId="2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9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210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96" fontId="4" fillId="0" borderId="0" xfId="0" applyNumberFormat="1" applyFont="1" applyFill="1" applyBorder="1" applyAlignment="1">
      <alignment horizontal="center" vertical="center"/>
    </xf>
    <xf numFmtId="49" fontId="29" fillId="7" borderId="0" xfId="0" applyNumberFormat="1" applyFont="1" applyFill="1" applyBorder="1" applyAlignment="1" applyProtection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0" fontId="0" fillId="6" borderId="0" xfId="0" applyNumberFormat="1" applyFont="1" applyFill="1" applyBorder="1" applyAlignment="1">
      <alignment horizontal="center" vertical="center"/>
    </xf>
    <xf numFmtId="14" fontId="0" fillId="6" borderId="0" xfId="0" applyNumberFormat="1" applyFont="1" applyFill="1" applyBorder="1" applyAlignment="1">
      <alignment horizontal="center" vertical="center" wrapText="1"/>
    </xf>
    <xf numFmtId="209" fontId="0" fillId="6" borderId="0" xfId="0" applyNumberFormat="1" applyFont="1" applyFill="1" applyBorder="1" applyAlignment="1">
      <alignment horizontal="center" vertical="center"/>
    </xf>
    <xf numFmtId="197" fontId="0" fillId="6" borderId="0" xfId="0" applyNumberFormat="1" applyFont="1" applyFill="1" applyBorder="1" applyAlignment="1">
      <alignment horizontal="center" vertical="center"/>
    </xf>
    <xf numFmtId="195" fontId="0" fillId="6" borderId="0" xfId="0" applyNumberFormat="1" applyFont="1" applyFill="1" applyBorder="1" applyAlignment="1">
      <alignment horizontal="center" vertical="center"/>
    </xf>
    <xf numFmtId="202" fontId="0" fillId="6" borderId="0" xfId="0" applyNumberFormat="1" applyFont="1" applyFill="1" applyBorder="1" applyAlignment="1">
      <alignment horizontal="center" vertical="center"/>
    </xf>
    <xf numFmtId="196" fontId="0" fillId="6" borderId="0" xfId="0" applyNumberFormat="1" applyFont="1" applyFill="1" applyBorder="1" applyAlignment="1">
      <alignment horizontal="center" vertical="center"/>
    </xf>
    <xf numFmtId="194" fontId="0" fillId="6" borderId="0" xfId="0" applyNumberFormat="1" applyFont="1" applyFill="1" applyBorder="1" applyAlignment="1">
      <alignment horizontal="center" vertical="center"/>
    </xf>
    <xf numFmtId="198" fontId="0" fillId="6" borderId="0" xfId="3" applyNumberFormat="1" applyFont="1" applyFill="1" applyBorder="1" applyAlignment="1">
      <alignment horizontal="center" vertical="center"/>
    </xf>
    <xf numFmtId="197" fontId="0" fillId="6" borderId="0" xfId="0" applyNumberFormat="1" applyFont="1" applyFill="1" applyBorder="1" applyAlignment="1">
      <alignment horizontal="center" vertical="center" wrapText="1"/>
    </xf>
    <xf numFmtId="4" fontId="0" fillId="6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209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211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3" fontId="0" fillId="0" borderId="0" xfId="1" applyNumberFormat="1" applyFont="1" applyFill="1" applyBorder="1" applyAlignment="1">
      <alignment horizontal="center" vertical="center"/>
    </xf>
    <xf numFmtId="212" fontId="0" fillId="0" borderId="0" xfId="0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09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212" fontId="0" fillId="2" borderId="0" xfId="1" applyNumberFormat="1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3" fontId="0" fillId="0" borderId="0" xfId="1" applyNumberFormat="1" applyFont="1" applyFill="1" applyBorder="1" applyAlignment="1">
      <alignment horizontal="center" vertical="center"/>
    </xf>
    <xf numFmtId="195" fontId="0" fillId="0" borderId="0" xfId="30237" applyNumberFormat="1" applyFont="1" applyFill="1" applyBorder="1" applyAlignment="1">
      <alignment horizontal="center" vertical="center" wrapText="1"/>
    </xf>
    <xf numFmtId="212" fontId="0" fillId="0" borderId="0" xfId="1" applyNumberFormat="1" applyFont="1" applyFill="1" applyBorder="1" applyAlignment="1">
      <alignment horizontal="center" vertical="center"/>
    </xf>
    <xf numFmtId="211" fontId="0" fillId="2" borderId="0" xfId="0" applyNumberFormat="1" applyFont="1" applyFill="1" applyBorder="1" applyAlignment="1">
      <alignment horizontal="center" vertical="center"/>
    </xf>
    <xf numFmtId="49" fontId="0" fillId="2" borderId="0" xfId="30239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2" fontId="0" fillId="2" borderId="0" xfId="0" applyNumberFormat="1" applyFont="1" applyFill="1" applyBorder="1" applyAlignment="1">
      <alignment horizontal="center" vertical="center"/>
    </xf>
    <xf numFmtId="196" fontId="0" fillId="7" borderId="0" xfId="0" applyNumberFormat="1" applyFont="1" applyFill="1" applyBorder="1" applyAlignment="1">
      <alignment horizontal="center" vertical="center"/>
    </xf>
    <xf numFmtId="49" fontId="0" fillId="6" borderId="0" xfId="0" applyNumberFormat="1" applyFont="1" applyFill="1" applyBorder="1" applyAlignment="1">
      <alignment horizontal="center" vertical="center"/>
    </xf>
    <xf numFmtId="199" fontId="0" fillId="6" borderId="0" xfId="0" applyNumberFormat="1" applyFont="1" applyFill="1" applyBorder="1" applyAlignment="1" applyProtection="1">
      <alignment horizontal="center" vertical="center" shrinkToFit="1"/>
    </xf>
    <xf numFmtId="209" fontId="0" fillId="6" borderId="0" xfId="1" applyNumberFormat="1" applyFont="1" applyFill="1" applyBorder="1" applyAlignment="1">
      <alignment horizontal="center" vertical="center"/>
    </xf>
    <xf numFmtId="197" fontId="0" fillId="6" borderId="0" xfId="1" applyNumberFormat="1" applyFont="1" applyFill="1" applyBorder="1" applyAlignment="1">
      <alignment horizontal="center" vertical="center"/>
    </xf>
    <xf numFmtId="43" fontId="0" fillId="6" borderId="0" xfId="1" applyNumberFormat="1" applyFont="1" applyFill="1" applyBorder="1" applyAlignment="1">
      <alignment horizontal="center" vertical="center"/>
    </xf>
    <xf numFmtId="49" fontId="0" fillId="6" borderId="0" xfId="30237" applyNumberFormat="1" applyFont="1" applyFill="1" applyBorder="1" applyAlignment="1">
      <alignment horizontal="center" vertical="center" wrapText="1"/>
    </xf>
    <xf numFmtId="195" fontId="0" fillId="6" borderId="0" xfId="30237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Border="1" applyAlignment="1">
      <alignment horizontal="center" vertical="center" wrapText="1"/>
    </xf>
    <xf numFmtId="202" fontId="0" fillId="6" borderId="0" xfId="0" applyNumberFormat="1" applyFont="1" applyFill="1" applyBorder="1" applyAlignment="1">
      <alignment horizontal="center" vertical="center" wrapText="1"/>
    </xf>
    <xf numFmtId="49" fontId="0" fillId="6" borderId="0" xfId="0" applyNumberFormat="1" applyFont="1" applyFill="1" applyBorder="1" applyAlignment="1">
      <alignment horizontal="center" vertical="center" wrapText="1"/>
    </xf>
    <xf numFmtId="212" fontId="0" fillId="6" borderId="0" xfId="1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203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203" fontId="0" fillId="2" borderId="0" xfId="1" applyNumberFormat="1" applyFont="1" applyFill="1" applyBorder="1" applyAlignment="1">
      <alignment horizontal="center" vertical="center"/>
    </xf>
    <xf numFmtId="210" fontId="0" fillId="2" borderId="0" xfId="1" applyNumberFormat="1" applyFont="1" applyFill="1" applyBorder="1" applyAlignment="1">
      <alignment horizontal="center" vertical="center"/>
    </xf>
    <xf numFmtId="213" fontId="0" fillId="2" borderId="0" xfId="1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 applyProtection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2" fontId="0" fillId="2" borderId="0" xfId="0" applyNumberFormat="1" applyFont="1" applyFill="1" applyBorder="1" applyAlignment="1">
      <alignment horizontal="center" vertical="center" shrinkToFit="1"/>
    </xf>
    <xf numFmtId="0" fontId="3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9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3" fillId="3" borderId="0" xfId="0" applyNumberFormat="1" applyFont="1" applyFill="1" applyBorder="1" applyAlignment="1">
      <alignment horizontal="center" vertical="center"/>
    </xf>
    <xf numFmtId="202" fontId="3" fillId="3" borderId="0" xfId="0" applyNumberFormat="1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 wrapText="1"/>
    </xf>
    <xf numFmtId="0" fontId="29" fillId="0" borderId="0" xfId="0" applyFont="1" applyBorder="1">
      <alignment vertical="center"/>
    </xf>
    <xf numFmtId="198" fontId="0" fillId="0" borderId="0" xfId="0" applyNumberFormat="1" applyFont="1" applyFill="1" applyBorder="1" applyAlignment="1">
      <alignment horizontal="center" vertical="center"/>
    </xf>
    <xf numFmtId="197" fontId="30" fillId="0" borderId="0" xfId="0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vertical="center" wrapText="1"/>
    </xf>
    <xf numFmtId="0" fontId="0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202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9" fontId="0" fillId="2" borderId="0" xfId="0" applyNumberFormat="1" applyFont="1" applyFill="1" applyBorder="1" applyAlignment="1">
      <alignment horizontal="left" vertical="center"/>
    </xf>
    <xf numFmtId="214" fontId="0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195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vertical="center"/>
    </xf>
    <xf numFmtId="205" fontId="0" fillId="2" borderId="0" xfId="3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196" fontId="26" fillId="2" borderId="0" xfId="0" applyNumberFormat="1" applyFont="1" applyFill="1" applyBorder="1" applyAlignment="1">
      <alignment horizontal="left" vertical="center"/>
    </xf>
    <xf numFmtId="209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left" vertical="center"/>
    </xf>
    <xf numFmtId="214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vertical="center"/>
    </xf>
    <xf numFmtId="195" fontId="26" fillId="2" borderId="0" xfId="0" applyNumberFormat="1" applyFont="1" applyFill="1" applyBorder="1" applyAlignment="1">
      <alignment horizontal="left" vertical="center"/>
    </xf>
    <xf numFmtId="205" fontId="26" fillId="2" borderId="0" xfId="3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 wrapText="1"/>
    </xf>
    <xf numFmtId="196" fontId="25" fillId="2" borderId="0" xfId="0" applyNumberFormat="1" applyFont="1" applyFill="1" applyBorder="1" applyAlignment="1">
      <alignment horizontal="left" vertical="center" wrapText="1"/>
    </xf>
    <xf numFmtId="209" fontId="25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center" vertical="center" wrapText="1"/>
    </xf>
    <xf numFmtId="214" fontId="25" fillId="2" borderId="0" xfId="0" applyNumberFormat="1" applyFont="1" applyFill="1" applyBorder="1" applyAlignment="1">
      <alignment horizontal="center" vertical="center"/>
    </xf>
    <xf numFmtId="194" fontId="27" fillId="2" borderId="0" xfId="0" applyNumberFormat="1" applyFont="1" applyFill="1" applyBorder="1" applyAlignment="1">
      <alignment horizontal="center" vertical="center"/>
    </xf>
    <xf numFmtId="195" fontId="27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 wrapText="1"/>
    </xf>
    <xf numFmtId="202" fontId="25" fillId="2" borderId="0" xfId="0" applyNumberFormat="1" applyFont="1" applyFill="1" applyBorder="1" applyAlignment="1">
      <alignment horizontal="left" vertical="center"/>
    </xf>
    <xf numFmtId="202" fontId="25" fillId="2" borderId="0" xfId="0" applyNumberFormat="1" applyFont="1" applyFill="1" applyBorder="1" applyAlignment="1">
      <alignment vertical="center"/>
    </xf>
    <xf numFmtId="197" fontId="25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/>
    </xf>
    <xf numFmtId="214" fontId="25" fillId="2" borderId="0" xfId="0" applyNumberFormat="1" applyFont="1" applyFill="1" applyBorder="1" applyAlignment="1">
      <alignment horizontal="left" vertical="center"/>
    </xf>
    <xf numFmtId="205" fontId="25" fillId="2" borderId="0" xfId="3" applyNumberFormat="1" applyFont="1" applyFill="1" applyBorder="1" applyAlignment="1">
      <alignment horizontal="center" vertical="center" wrapText="1"/>
    </xf>
    <xf numFmtId="197" fontId="3" fillId="2" borderId="0" xfId="0" applyNumberFormat="1" applyFont="1" applyFill="1" applyBorder="1" applyAlignment="1">
      <alignment horizontal="center" vertical="center" wrapText="1"/>
    </xf>
    <xf numFmtId="196" fontId="25" fillId="2" borderId="0" xfId="0" applyNumberFormat="1" applyFont="1" applyFill="1" applyBorder="1" applyAlignment="1">
      <alignment horizontal="left" vertical="center"/>
    </xf>
    <xf numFmtId="194" fontId="27" fillId="2" borderId="0" xfId="0" applyNumberFormat="1" applyFont="1" applyFill="1" applyBorder="1" applyAlignment="1">
      <alignment horizontal="left" vertical="center"/>
    </xf>
    <xf numFmtId="195" fontId="27" fillId="2" borderId="0" xfId="0" applyNumberFormat="1" applyFont="1" applyFill="1" applyBorder="1" applyAlignment="1">
      <alignment horizontal="left" vertical="center"/>
    </xf>
    <xf numFmtId="195" fontId="25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209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214" fontId="0" fillId="0" borderId="0" xfId="0" applyNumberFormat="1" applyFont="1" applyFill="1" applyBorder="1" applyAlignment="1">
      <alignment horizontal="left" vertical="center"/>
    </xf>
    <xf numFmtId="194" fontId="29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05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196" fontId="0" fillId="2" borderId="0" xfId="0" applyNumberFormat="1" applyFont="1" applyFill="1" applyBorder="1" applyAlignment="1">
      <alignment horizontal="left" vertical="center"/>
    </xf>
    <xf numFmtId="49" fontId="29" fillId="2" borderId="0" xfId="0" applyNumberFormat="1" applyFont="1" applyFill="1" applyBorder="1" applyAlignment="1">
      <alignment horizontal="left" vertical="center"/>
    </xf>
    <xf numFmtId="194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wrapText="1"/>
    </xf>
    <xf numFmtId="194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197" fontId="22" fillId="2" borderId="0" xfId="0" applyNumberFormat="1" applyFont="1" applyFill="1" applyBorder="1" applyAlignment="1">
      <alignment horizontal="center" vertical="center"/>
    </xf>
    <xf numFmtId="4" fontId="22" fillId="2" borderId="0" xfId="0" applyNumberFormat="1" applyFont="1" applyFill="1" applyBorder="1" applyAlignment="1"/>
    <xf numFmtId="199" fontId="0" fillId="2" borderId="0" xfId="0" applyNumberFormat="1" applyFont="1" applyFill="1" applyBorder="1" applyAlignment="1" applyProtection="1">
      <alignment horizontal="left" vertical="center" shrinkToFit="1"/>
    </xf>
    <xf numFmtId="4" fontId="0" fillId="2" borderId="0" xfId="0" applyNumberFormat="1" applyFont="1" applyFill="1" applyBorder="1" applyAlignment="1"/>
    <xf numFmtId="202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/>
    </xf>
    <xf numFmtId="4" fontId="22" fillId="2" borderId="0" xfId="0" applyNumberFormat="1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left" vertical="center" wrapText="1"/>
    </xf>
    <xf numFmtId="0" fontId="34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35" fillId="0" borderId="0" xfId="0" applyFo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209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1" fontId="0" fillId="2" borderId="0" xfId="0" applyNumberFormat="1" applyFont="1" applyFill="1" applyBorder="1" applyAlignment="1">
      <alignment horizontal="left" vertical="center"/>
    </xf>
    <xf numFmtId="203" fontId="0" fillId="2" borderId="0" xfId="1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 wrapText="1"/>
    </xf>
    <xf numFmtId="212" fontId="0" fillId="2" borderId="0" xfId="0" applyNumberFormat="1" applyFont="1" applyFill="1" applyBorder="1" applyAlignment="1">
      <alignment horizontal="left" vertical="center"/>
    </xf>
    <xf numFmtId="0" fontId="0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214" fontId="0" fillId="2" borderId="0" xfId="1" applyNumberFormat="1" applyFont="1" applyFill="1" applyBorder="1" applyAlignment="1">
      <alignment horizontal="left" vertical="center"/>
    </xf>
    <xf numFmtId="49" fontId="29" fillId="2" borderId="0" xfId="30237" applyNumberFormat="1" applyFont="1" applyFill="1" applyBorder="1" applyAlignment="1">
      <alignment horizontal="left" vertical="center" wrapText="1"/>
    </xf>
    <xf numFmtId="212" fontId="0" fillId="2" borderId="0" xfId="1" applyNumberFormat="1" applyFont="1" applyFill="1" applyBorder="1" applyAlignment="1">
      <alignment horizontal="left" vertical="center"/>
    </xf>
    <xf numFmtId="195" fontId="29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214" fontId="0" fillId="0" borderId="0" xfId="1" applyNumberFormat="1" applyFont="1" applyFill="1" applyBorder="1" applyAlignment="1">
      <alignment horizontal="left" vertical="center"/>
    </xf>
    <xf numFmtId="49" fontId="29" fillId="0" borderId="0" xfId="30237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/>
    </xf>
    <xf numFmtId="212" fontId="0" fillId="0" borderId="0" xfId="1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24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205" fontId="0" fillId="0" borderId="0" xfId="3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9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 wrapText="1"/>
    </xf>
    <xf numFmtId="205" fontId="3" fillId="0" borderId="0" xfId="3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 shrinkToFit="1"/>
    </xf>
    <xf numFmtId="49" fontId="29" fillId="2" borderId="0" xfId="30239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shrinkToFit="1"/>
    </xf>
    <xf numFmtId="202" fontId="0" fillId="2" borderId="0" xfId="0" applyNumberFormat="1" applyFont="1" applyFill="1" applyBorder="1" applyAlignment="1">
      <alignment vertical="center" wrapText="1" shrinkToFit="1"/>
    </xf>
    <xf numFmtId="202" fontId="0" fillId="2" borderId="0" xfId="0" applyNumberFormat="1" applyFont="1" applyFill="1" applyBorder="1" applyAlignment="1">
      <alignment horizontal="left" vertical="center" wrapText="1" shrinkToFit="1"/>
    </xf>
    <xf numFmtId="49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14" fontId="29" fillId="2" borderId="0" xfId="0" applyNumberFormat="1" applyFont="1" applyFill="1" applyBorder="1" applyAlignment="1">
      <alignment horizontal="left" vertical="center"/>
    </xf>
    <xf numFmtId="0" fontId="0" fillId="9" borderId="0" xfId="0" applyFont="1" applyFill="1" applyBorder="1" applyAlignment="1">
      <alignment horizontal="left" vertical="center"/>
    </xf>
    <xf numFmtId="0" fontId="36" fillId="0" borderId="0" xfId="0" applyNumberFormat="1" applyFont="1" applyFill="1" applyBorder="1" applyAlignment="1">
      <alignment horizontal="left" vertical="center" wrapText="1"/>
    </xf>
    <xf numFmtId="199" fontId="0" fillId="7" borderId="0" xfId="0" applyNumberFormat="1" applyFont="1" applyFill="1" applyBorder="1" applyAlignment="1" applyProtection="1">
      <alignment horizontal="left" vertical="center" shrinkToFit="1"/>
    </xf>
    <xf numFmtId="14" fontId="0" fillId="0" borderId="0" xfId="0" applyNumberFormat="1" applyFont="1" applyFill="1" applyBorder="1" applyAlignment="1">
      <alignment horizontal="left" vertical="center" wrapText="1" shrinkToFit="1"/>
    </xf>
    <xf numFmtId="205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197" fontId="22" fillId="0" borderId="0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/>
    <xf numFmtId="49" fontId="0" fillId="2" borderId="0" xfId="30239" applyNumberFormat="1" applyFont="1" applyFill="1" applyBorder="1" applyAlignment="1">
      <alignment horizontal="left" vertical="center"/>
    </xf>
    <xf numFmtId="49" fontId="29" fillId="2" borderId="0" xfId="0" applyNumberFormat="1" applyFont="1" applyFill="1" applyBorder="1" applyAlignment="1">
      <alignment horizontal="left" vertical="center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Border="1" applyAlignment="1">
      <alignment horizontal="left" vertical="center" shrinkToFit="1"/>
    </xf>
    <xf numFmtId="203" fontId="0" fillId="2" borderId="0" xfId="0" applyNumberFormat="1" applyFont="1" applyFill="1" applyBorder="1" applyAlignment="1">
      <alignment horizontal="left" vertical="center"/>
    </xf>
    <xf numFmtId="49" fontId="29" fillId="0" borderId="0" xfId="0" applyNumberFormat="1" applyFont="1" applyFill="1" applyBorder="1" applyAlignment="1">
      <alignment horizontal="left" vertical="center"/>
    </xf>
    <xf numFmtId="212" fontId="0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212" fontId="0" fillId="10" borderId="0" xfId="0" applyNumberFormat="1" applyFont="1" applyFill="1" applyBorder="1" applyAlignment="1">
      <alignment horizontal="left" vertical="center" wrapText="1"/>
    </xf>
    <xf numFmtId="205" fontId="0" fillId="10" borderId="0" xfId="3" applyNumberFormat="1" applyFont="1" applyFill="1" applyBorder="1" applyAlignment="1">
      <alignment horizontal="left" vertical="center" wrapText="1"/>
    </xf>
    <xf numFmtId="197" fontId="0" fillId="10" borderId="0" xfId="0" applyNumberFormat="1" applyFont="1" applyFill="1" applyBorder="1" applyAlignment="1">
      <alignment horizontal="left" vertical="center" wrapText="1"/>
    </xf>
    <xf numFmtId="49" fontId="0" fillId="2" borderId="0" xfId="30237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49" fontId="0" fillId="7" borderId="0" xfId="0" applyNumberFormat="1" applyFont="1" applyFill="1" applyBorder="1" applyAlignment="1" applyProtection="1">
      <alignment horizontal="left" vertical="center" shrinkToFit="1"/>
    </xf>
    <xf numFmtId="211" fontId="0" fillId="0" borderId="0" xfId="0" applyNumberFormat="1" applyFont="1" applyBorder="1" applyAlignment="1">
      <alignment horizontal="left" vertical="center"/>
    </xf>
    <xf numFmtId="203" fontId="0" fillId="0" borderId="0" xfId="1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0" fillId="2" borderId="0" xfId="30239" applyFont="1" applyFill="1" applyBorder="1" applyAlignment="1">
      <alignment horizontal="left" vertical="center"/>
    </xf>
    <xf numFmtId="209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214" fontId="0" fillId="2" borderId="0" xfId="30239" applyNumberFormat="1" applyFont="1" applyFill="1" applyBorder="1" applyAlignment="1">
      <alignment horizontal="left" vertical="center"/>
    </xf>
    <xf numFmtId="212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96" fontId="0" fillId="2" borderId="0" xfId="0" applyNumberFormat="1" applyFont="1" applyFill="1" applyBorder="1" applyAlignment="1">
      <alignment horizontal="left" vertical="center" shrinkToFit="1"/>
    </xf>
    <xf numFmtId="215" fontId="0" fillId="2" borderId="0" xfId="0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211" fontId="0" fillId="0" borderId="0" xfId="0" applyNumberFormat="1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24" fillId="2" borderId="0" xfId="30237" applyNumberFormat="1" applyFont="1" applyFill="1" applyBorder="1" applyAlignment="1">
      <alignment horizontal="left" vertical="center" wrapText="1"/>
    </xf>
    <xf numFmtId="0" fontId="36" fillId="0" borderId="0" xfId="0" applyNumberFormat="1" applyFont="1" applyFill="1" applyBorder="1" applyAlignment="1">
      <alignment horizontal="left" vertical="center"/>
    </xf>
    <xf numFmtId="49" fontId="29" fillId="0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9" fillId="2" borderId="0" xfId="30239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197" fontId="0" fillId="2" borderId="0" xfId="30237" applyNumberFormat="1" applyFont="1" applyFill="1" applyBorder="1" applyAlignment="1">
      <alignment horizontal="left" vertical="center" wrapText="1"/>
    </xf>
    <xf numFmtId="196" fontId="3" fillId="3" borderId="0" xfId="0" applyNumberFormat="1" applyFont="1" applyFill="1" applyBorder="1" applyAlignment="1">
      <alignment horizontal="left" vertical="center"/>
    </xf>
    <xf numFmtId="209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43" fontId="3" fillId="3" borderId="0" xfId="0" applyNumberFormat="1" applyFont="1" applyFill="1" applyBorder="1" applyAlignment="1">
      <alignment horizontal="left" vertical="center"/>
    </xf>
    <xf numFmtId="196" fontId="27" fillId="3" borderId="0" xfId="0" applyNumberFormat="1" applyFont="1" applyFill="1" applyBorder="1" applyAlignment="1">
      <alignment horizontal="left" vertical="center"/>
    </xf>
    <xf numFmtId="202" fontId="3" fillId="3" borderId="0" xfId="0" applyNumberFormat="1" applyFont="1" applyFill="1" applyBorder="1" applyAlignment="1">
      <alignment horizontal="left" vertical="center"/>
    </xf>
    <xf numFmtId="214" fontId="3" fillId="3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205" fontId="0" fillId="2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2" fontId="0" fillId="2" borderId="0" xfId="30237" applyNumberFormat="1" applyFont="1" applyFill="1" applyBorder="1" applyAlignment="1">
      <alignment horizontal="left" vertical="center" wrapText="1"/>
    </xf>
    <xf numFmtId="195" fontId="29" fillId="0" borderId="0" xfId="0" applyNumberFormat="1" applyFont="1" applyFill="1" applyBorder="1" applyAlignment="1">
      <alignment horizontal="left" vertical="center"/>
    </xf>
    <xf numFmtId="205" fontId="0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vertical="center"/>
    </xf>
    <xf numFmtId="0" fontId="8" fillId="11" borderId="0" xfId="15593" applyFont="1" applyFill="1" applyAlignment="1"/>
    <xf numFmtId="0" fontId="37" fillId="11" borderId="0" xfId="15593" applyFill="1" applyAlignment="1"/>
    <xf numFmtId="0" fontId="37" fillId="12" borderId="2" xfId="15593" applyFill="1" applyBorder="1" applyAlignment="1"/>
    <xf numFmtId="0" fontId="38" fillId="13" borderId="3" xfId="15593" applyFont="1" applyFill="1" applyBorder="1" applyAlignment="1">
      <alignment horizontal="center"/>
    </xf>
    <xf numFmtId="0" fontId="39" fillId="14" borderId="4" xfId="15593" applyFont="1" applyFill="1" applyBorder="1" applyAlignment="1">
      <alignment horizontal="center"/>
    </xf>
    <xf numFmtId="0" fontId="38" fillId="13" borderId="4" xfId="15593" applyFont="1" applyFill="1" applyBorder="1" applyAlignment="1">
      <alignment horizontal="center"/>
    </xf>
    <xf numFmtId="0" fontId="38" fillId="13" borderId="5" xfId="15593" applyFont="1" applyFill="1" applyBorder="1" applyAlignment="1">
      <alignment horizontal="center"/>
    </xf>
    <xf numFmtId="0" fontId="37" fillId="12" borderId="6" xfId="15593" applyFill="1" applyBorder="1" applyAlignment="1"/>
    <xf numFmtId="0" fontId="37" fillId="12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212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/>
    </xf>
    <xf numFmtId="195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0" fontId="3" fillId="0" borderId="0" xfId="3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97" fontId="3" fillId="0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196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212" fontId="0" fillId="3" borderId="0" xfId="0" applyNumberFormat="1" applyFont="1" applyFill="1" applyBorder="1" applyAlignment="1">
      <alignment horizontal="left" vertical="center"/>
    </xf>
    <xf numFmtId="195" fontId="0" fillId="5" borderId="0" xfId="0" applyNumberFormat="1" applyFont="1" applyFill="1" applyBorder="1" applyAlignment="1">
      <alignment horizontal="left" vertical="center"/>
    </xf>
    <xf numFmtId="49" fontId="0" fillId="5" borderId="0" xfId="0" applyNumberFormat="1" applyFont="1" applyFill="1" applyBorder="1" applyAlignment="1">
      <alignment horizontal="left" vertical="center"/>
    </xf>
    <xf numFmtId="212" fontId="0" fillId="5" borderId="0" xfId="0" applyNumberFormat="1" applyFont="1" applyFill="1" applyBorder="1" applyAlignment="1">
      <alignment horizontal="left" vertical="center"/>
    </xf>
    <xf numFmtId="197" fontId="0" fillId="5" borderId="0" xfId="0" applyNumberFormat="1" applyFont="1" applyFill="1" applyBorder="1" applyAlignment="1">
      <alignment horizontal="left" vertical="center"/>
    </xf>
    <xf numFmtId="14" fontId="0" fillId="5" borderId="0" xfId="0" applyNumberFormat="1" applyFont="1" applyFill="1" applyBorder="1" applyAlignment="1">
      <alignment horizontal="left" vertical="center"/>
    </xf>
    <xf numFmtId="197" fontId="0" fillId="5" borderId="0" xfId="0" applyNumberFormat="1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left" vertical="center" wrapText="1"/>
    </xf>
    <xf numFmtId="198" fontId="0" fillId="5" borderId="0" xfId="3" applyNumberFormat="1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10" fontId="0" fillId="0" borderId="0" xfId="3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3" borderId="1" xfId="0" applyFill="1" applyBorder="1">
      <alignment vertical="center"/>
    </xf>
    <xf numFmtId="43" fontId="0" fillId="3" borderId="1" xfId="0" applyNumberForma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4" fillId="0" borderId="1" xfId="0" applyNumberFormat="1" applyFont="1" applyBorder="1">
      <alignment vertical="center"/>
    </xf>
    <xf numFmtId="0" fontId="0" fillId="3" borderId="0" xfId="0" applyFill="1">
      <alignment vertical="center"/>
    </xf>
    <xf numFmtId="0" fontId="24" fillId="0" borderId="0" xfId="0" applyFont="1">
      <alignment vertical="center"/>
    </xf>
    <xf numFmtId="0" fontId="29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41" fillId="0" borderId="0" xfId="0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197" fontId="42" fillId="0" borderId="0" xfId="0" applyNumberFormat="1" applyFont="1" applyBorder="1" applyAlignment="1">
      <alignment horizontal="left" vertical="center"/>
    </xf>
    <xf numFmtId="216" fontId="43" fillId="0" borderId="8" xfId="0" applyNumberFormat="1" applyFont="1" applyFill="1" applyBorder="1" applyAlignment="1">
      <alignment horizontal="center" vertical="center"/>
    </xf>
    <xf numFmtId="216" fontId="43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4" fillId="0" borderId="1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horizontal="center" vertical="center"/>
    </xf>
    <xf numFmtId="203" fontId="24" fillId="0" borderId="6" xfId="0" applyNumberFormat="1" applyFont="1" applyBorder="1" applyAlignment="1">
      <alignment horizontal="left" vertical="center" wrapText="1"/>
    </xf>
    <xf numFmtId="0" fontId="44" fillId="0" borderId="10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197" fontId="44" fillId="0" borderId="11" xfId="0" applyNumberFormat="1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216" fontId="43" fillId="0" borderId="15" xfId="0" applyNumberFormat="1" applyFont="1" applyFill="1" applyBorder="1" applyAlignment="1">
      <alignment horizontal="center" vertical="center"/>
    </xf>
    <xf numFmtId="216" fontId="43" fillId="0" borderId="16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15" borderId="1" xfId="0" applyFont="1" applyFill="1" applyBorder="1" applyAlignment="1">
      <alignment vertical="center" wrapText="1"/>
    </xf>
    <xf numFmtId="203" fontId="24" fillId="15" borderId="1" xfId="0" applyNumberFormat="1" applyFont="1" applyFill="1" applyBorder="1" applyAlignment="1">
      <alignment horizontal="left" vertical="center" wrapText="1"/>
    </xf>
    <xf numFmtId="203" fontId="24" fillId="0" borderId="1" xfId="0" applyNumberFormat="1" applyFont="1" applyBorder="1" applyAlignment="1">
      <alignment horizontal="left" vertical="center" wrapText="1"/>
    </xf>
    <xf numFmtId="203" fontId="24" fillId="0" borderId="16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203" fontId="44" fillId="0" borderId="1" xfId="0" applyNumberFormat="1" applyFont="1" applyBorder="1" applyAlignment="1">
      <alignment horizontal="left" vertical="center" wrapText="1"/>
    </xf>
    <xf numFmtId="197" fontId="44" fillId="0" borderId="1" xfId="0" applyNumberFormat="1" applyFont="1" applyBorder="1" applyAlignment="1">
      <alignment horizontal="left" vertical="center" wrapText="1"/>
    </xf>
    <xf numFmtId="206" fontId="44" fillId="0" borderId="6" xfId="0" applyNumberFormat="1" applyFont="1" applyBorder="1" applyAlignment="1">
      <alignment horizontal="left" vertical="center" wrapText="1"/>
    </xf>
    <xf numFmtId="203" fontId="44" fillId="0" borderId="6" xfId="0" applyNumberFormat="1" applyFont="1" applyBorder="1" applyAlignment="1">
      <alignment horizontal="left" vertical="center" wrapText="1"/>
    </xf>
    <xf numFmtId="203" fontId="44" fillId="9" borderId="6" xfId="0" applyNumberFormat="1" applyFont="1" applyFill="1" applyBorder="1" applyAlignment="1">
      <alignment horizontal="left" vertical="center" wrapText="1"/>
    </xf>
    <xf numFmtId="203" fontId="45" fillId="0" borderId="1" xfId="0" applyNumberFormat="1" applyFont="1" applyFill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/>
    </xf>
    <xf numFmtId="0" fontId="24" fillId="0" borderId="1" xfId="0" applyFont="1" applyBorder="1">
      <alignment vertical="center"/>
    </xf>
    <xf numFmtId="0" fontId="24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216" fontId="22" fillId="9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5" borderId="1" xfId="0" applyFont="1" applyFill="1" applyBorder="1">
      <alignment vertical="center"/>
    </xf>
    <xf numFmtId="203" fontId="0" fillId="15" borderId="1" xfId="0" applyNumberFormat="1" applyFont="1" applyFill="1" applyBorder="1" applyAlignment="1">
      <alignment horizontal="left" vertical="center"/>
    </xf>
    <xf numFmtId="203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/>
    </xf>
    <xf numFmtId="216" fontId="22" fillId="0" borderId="1" xfId="0" applyNumberFormat="1" applyFont="1" applyFill="1" applyBorder="1" applyAlignment="1">
      <alignment horizontal="left" vertical="center"/>
    </xf>
    <xf numFmtId="206" fontId="0" fillId="0" borderId="1" xfId="0" applyNumberFormat="1" applyFont="1" applyBorder="1" applyAlignment="1">
      <alignment horizontal="left" vertical="center"/>
    </xf>
    <xf numFmtId="43" fontId="0" fillId="9" borderId="1" xfId="0" applyNumberFormat="1" applyFont="1" applyFill="1" applyBorder="1" applyAlignment="1">
      <alignment horizontal="left" vertical="center"/>
    </xf>
    <xf numFmtId="216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7" fontId="0" fillId="0" borderId="1" xfId="0" applyNumberFormat="1" applyFont="1" applyBorder="1">
      <alignment vertical="center"/>
    </xf>
    <xf numFmtId="0" fontId="0" fillId="0" borderId="17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16" fontId="22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9" xfId="0" applyFont="1" applyFill="1" applyBorder="1">
      <alignment vertical="center"/>
    </xf>
    <xf numFmtId="4" fontId="8" fillId="0" borderId="0" xfId="0" applyNumberFormat="1" applyFont="1" applyFill="1" applyBorder="1" applyAlignment="1">
      <alignment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197" fontId="8" fillId="0" borderId="0" xfId="0" applyNumberFormat="1" applyFont="1" applyFill="1" applyBorder="1" applyAlignment="1">
      <alignment vertical="center"/>
    </xf>
    <xf numFmtId="216" fontId="22" fillId="0" borderId="1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43" fontId="14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43" fontId="47" fillId="0" borderId="0" xfId="0" applyNumberFormat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216" fontId="22" fillId="9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5" borderId="6" xfId="0" applyFont="1" applyFill="1" applyBorder="1">
      <alignment vertical="center"/>
    </xf>
    <xf numFmtId="203" fontId="0" fillId="15" borderId="6" xfId="0" applyNumberFormat="1" applyFont="1" applyFill="1" applyBorder="1" applyAlignment="1">
      <alignment horizontal="left" vertical="center"/>
    </xf>
    <xf numFmtId="203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6" fontId="0" fillId="0" borderId="6" xfId="0" applyNumberFormat="1" applyFont="1" applyBorder="1" applyAlignment="1">
      <alignment horizontal="left" vertical="center"/>
    </xf>
    <xf numFmtId="43" fontId="0" fillId="9" borderId="6" xfId="0" applyNumberFormat="1" applyFont="1" applyFill="1" applyBorder="1" applyAlignment="1">
      <alignment horizontal="left" vertical="center"/>
    </xf>
    <xf numFmtId="216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7" fontId="0" fillId="0" borderId="6" xfId="0" applyNumberFormat="1" applyFont="1" applyBorder="1">
      <alignment vertical="center"/>
    </xf>
    <xf numFmtId="0" fontId="0" fillId="0" borderId="2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7" xfId="0" applyFont="1" applyBorder="1">
      <alignment vertical="center"/>
    </xf>
    <xf numFmtId="0" fontId="3" fillId="15" borderId="7" xfId="0" applyFont="1" applyFill="1" applyBorder="1">
      <alignment vertical="center"/>
    </xf>
    <xf numFmtId="196" fontId="3" fillId="15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6" fontId="3" fillId="0" borderId="7" xfId="0" applyNumberFormat="1" applyFont="1" applyBorder="1" applyAlignment="1">
      <alignment horizontal="left" vertical="center"/>
    </xf>
    <xf numFmtId="203" fontId="3" fillId="0" borderId="7" xfId="0" applyNumberFormat="1" applyFont="1" applyBorder="1" applyAlignment="1">
      <alignment horizontal="left" vertical="center"/>
    </xf>
    <xf numFmtId="43" fontId="3" fillId="9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8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27" fillId="0" borderId="0" xfId="0" applyFont="1" applyBorder="1">
      <alignment vertical="center"/>
    </xf>
    <xf numFmtId="0" fontId="30" fillId="0" borderId="0" xfId="0" applyFont="1" applyBorder="1">
      <alignment vertical="center"/>
    </xf>
    <xf numFmtId="197" fontId="27" fillId="0" borderId="0" xfId="0" applyNumberFormat="1" applyFont="1" applyBorder="1">
      <alignment vertical="center"/>
    </xf>
    <xf numFmtId="0" fontId="27" fillId="0" borderId="0" xfId="0" applyFont="1" applyFill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197" fontId="48" fillId="0" borderId="0" xfId="0" applyNumberFormat="1" applyFont="1">
      <alignment vertical="center"/>
    </xf>
    <xf numFmtId="0" fontId="27" fillId="0" borderId="0" xfId="0" applyFont="1" applyFill="1" applyBorder="1" applyAlignment="1">
      <alignment horizontal="left" vertical="center"/>
    </xf>
    <xf numFmtId="203" fontId="27" fillId="0" borderId="0" xfId="0" applyNumberFormat="1" applyFont="1" applyFill="1" applyBorder="1" applyAlignment="1">
      <alignment horizontal="left" vertical="center"/>
    </xf>
    <xf numFmtId="203" fontId="27" fillId="0" borderId="0" xfId="0" applyNumberFormat="1" applyFont="1" applyBorder="1" applyAlignment="1">
      <alignment horizontal="left" vertical="center"/>
    </xf>
    <xf numFmtId="216" fontId="27" fillId="0" borderId="0" xfId="0" applyNumberFormat="1" applyFont="1" applyBorder="1" applyAlignment="1">
      <alignment horizontal="left" vertical="center"/>
    </xf>
    <xf numFmtId="4" fontId="49" fillId="0" borderId="0" xfId="0" applyNumberFormat="1" applyFont="1">
      <alignment vertical="center"/>
    </xf>
    <xf numFmtId="31" fontId="29" fillId="0" borderId="0" xfId="0" applyNumberFormat="1" applyFont="1">
      <alignment vertical="center"/>
    </xf>
    <xf numFmtId="0" fontId="50" fillId="0" borderId="0" xfId="0" applyFont="1">
      <alignment vertical="center"/>
    </xf>
    <xf numFmtId="176" fontId="27" fillId="0" borderId="0" xfId="2" applyFont="1" applyBorder="1" applyAlignment="1">
      <alignment vertical="center" wrapText="1"/>
    </xf>
    <xf numFmtId="203" fontId="27" fillId="0" borderId="0" xfId="0" applyNumberFormat="1" applyFont="1" applyFill="1" applyAlignment="1">
      <alignment horizontal="left" vertical="center"/>
    </xf>
    <xf numFmtId="203" fontId="29" fillId="0" borderId="0" xfId="0" applyNumberFormat="1" applyFont="1" applyBorder="1" applyAlignment="1">
      <alignment horizontal="left" vertical="center"/>
    </xf>
    <xf numFmtId="218" fontId="27" fillId="0" borderId="0" xfId="0" applyNumberFormat="1" applyFont="1" applyBorder="1">
      <alignment vertical="center"/>
    </xf>
    <xf numFmtId="0" fontId="29" fillId="0" borderId="0" xfId="0" applyFont="1" applyFill="1" applyBorder="1" applyAlignment="1">
      <alignment vertical="center"/>
    </xf>
    <xf numFmtId="0" fontId="33" fillId="0" borderId="0" xfId="0" applyFont="1" applyAlignment="1">
      <alignment horizontal="left" vertical="center" wrapText="1"/>
    </xf>
    <xf numFmtId="197" fontId="27" fillId="0" borderId="0" xfId="0" applyNumberFormat="1" applyFont="1" applyBorder="1" applyAlignment="1">
      <alignment horizontal="center" vertical="center" wrapText="1"/>
    </xf>
    <xf numFmtId="43" fontId="51" fillId="0" borderId="0" xfId="0" applyNumberFormat="1" applyFont="1" applyAlignment="1">
      <alignment horizontal="left" vertical="center"/>
    </xf>
    <xf numFmtId="203" fontId="27" fillId="0" borderId="0" xfId="0" applyNumberFormat="1" applyFont="1" applyAlignment="1">
      <alignment horizontal="left" vertical="center"/>
    </xf>
    <xf numFmtId="0" fontId="52" fillId="0" borderId="0" xfId="0" applyFont="1" applyFill="1" applyBorder="1">
      <alignment vertical="center"/>
    </xf>
    <xf numFmtId="196" fontId="30" fillId="0" borderId="0" xfId="0" applyNumberFormat="1" applyFont="1" applyFill="1" applyBorder="1">
      <alignment vertical="center"/>
    </xf>
    <xf numFmtId="197" fontId="27" fillId="0" borderId="0" xfId="0" applyNumberFormat="1" applyFont="1" applyBorder="1" applyAlignment="1">
      <alignment horizontal="left" vertical="center"/>
    </xf>
    <xf numFmtId="203" fontId="27" fillId="0" borderId="0" xfId="0" applyNumberFormat="1" applyFont="1" applyFill="1" applyBorder="1" applyAlignment="1">
      <alignment horizontal="right"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4" fontId="52" fillId="0" borderId="0" xfId="0" applyNumberFormat="1" applyFont="1" applyFill="1" applyBorder="1">
      <alignment vertical="center"/>
    </xf>
    <xf numFmtId="197" fontId="30" fillId="0" borderId="0" xfId="0" applyNumberFormat="1" applyFont="1" applyFill="1" applyAlignment="1">
      <alignment horizontal="right" vertical="center"/>
    </xf>
    <xf numFmtId="197" fontId="27" fillId="0" borderId="0" xfId="0" applyNumberFormat="1" applyFont="1" applyFill="1" applyBorder="1">
      <alignment vertical="center"/>
    </xf>
    <xf numFmtId="4" fontId="27" fillId="0" borderId="0" xfId="0" applyNumberFormat="1" applyFont="1" applyFill="1" applyBorder="1">
      <alignment vertical="center"/>
    </xf>
    <xf numFmtId="196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>
      <alignment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197" fontId="30" fillId="0" borderId="0" xfId="0" applyNumberFormat="1" applyFont="1" applyBorder="1" applyAlignment="1">
      <alignment horizontal="left" vertical="center"/>
    </xf>
    <xf numFmtId="197" fontId="27" fillId="0" borderId="0" xfId="0" applyNumberFormat="1" applyFont="1" applyAlignment="1">
      <alignment horizontal="center" vertical="center" wrapText="1"/>
    </xf>
    <xf numFmtId="203" fontId="30" fillId="0" borderId="0" xfId="0" applyNumberFormat="1" applyFont="1" applyFill="1" applyBorder="1" applyAlignment="1">
      <alignment horizontal="left" vertical="center" wrapText="1"/>
    </xf>
    <xf numFmtId="203" fontId="30" fillId="0" borderId="0" xfId="0" applyNumberFormat="1" applyFont="1" applyFill="1" applyBorder="1" applyAlignment="1">
      <alignment horizontal="left" vertical="center"/>
    </xf>
    <xf numFmtId="0" fontId="31" fillId="0" borderId="0" xfId="0" applyFont="1" applyAlignment="1">
      <alignment vertical="center" wrapText="1"/>
    </xf>
    <xf numFmtId="0" fontId="53" fillId="0" borderId="0" xfId="0" applyFont="1" applyFill="1" applyBorder="1" applyAlignment="1">
      <alignment vertical="center" wrapText="1"/>
    </xf>
    <xf numFmtId="0" fontId="29" fillId="0" borderId="0" xfId="0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30" fillId="0" borderId="0" xfId="0" applyFont="1">
      <alignment vertical="center"/>
    </xf>
    <xf numFmtId="197" fontId="27" fillId="0" borderId="0" xfId="0" applyNumberFormat="1" applyFont="1" applyFill="1">
      <alignment vertical="center"/>
    </xf>
    <xf numFmtId="0" fontId="27" fillId="0" borderId="0" xfId="0" applyFont="1" applyFill="1">
      <alignment vertical="center"/>
    </xf>
    <xf numFmtId="197" fontId="30" fillId="0" borderId="1" xfId="0" applyNumberFormat="1" applyFont="1" applyFill="1" applyBorder="1" applyAlignment="1">
      <alignment horizontal="right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3" borderId="0" xfId="0" applyFont="1" applyFill="1" applyBorder="1" applyAlignment="1">
      <alignment horizontal="left" vertical="center" wrapText="1"/>
    </xf>
    <xf numFmtId="197" fontId="27" fillId="0" borderId="0" xfId="0" applyNumberFormat="1" applyFont="1" applyAlignment="1">
      <alignment horizontal="left" vertical="center"/>
    </xf>
    <xf numFmtId="218" fontId="27" fillId="0" borderId="0" xfId="0" applyNumberFormat="1" applyFont="1">
      <alignment vertical="center"/>
    </xf>
    <xf numFmtId="49" fontId="16" fillId="0" borderId="0" xfId="0" applyNumberFormat="1" applyFont="1" applyFill="1" applyBorder="1" applyAlignment="1">
      <alignment vertical="center"/>
    </xf>
    <xf numFmtId="212" fontId="16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196" fontId="30" fillId="0" borderId="0" xfId="0" applyNumberFormat="1" applyFont="1" applyFill="1">
      <alignment vertical="center"/>
    </xf>
    <xf numFmtId="0" fontId="27" fillId="0" borderId="0" xfId="0" applyFont="1" applyFill="1" applyAlignment="1">
      <alignment horizontal="left"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3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176" fontId="8" fillId="0" borderId="0" xfId="2" applyFont="1" applyAlignment="1">
      <alignment vertical="center" wrapText="1"/>
    </xf>
    <xf numFmtId="176" fontId="27" fillId="0" borderId="0" xfId="2" applyFont="1" applyAlignment="1">
      <alignment vertical="center" wrapText="1"/>
    </xf>
    <xf numFmtId="196" fontId="44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3" fillId="0" borderId="0" xfId="0" applyNumberFormat="1" applyFont="1" applyAlignment="1">
      <alignment horizontal="left" vertical="center"/>
    </xf>
    <xf numFmtId="196" fontId="0" fillId="0" borderId="0" xfId="0" applyNumberFormat="1">
      <alignment vertical="center"/>
    </xf>
    <xf numFmtId="196" fontId="0" fillId="0" borderId="0" xfId="2" applyNumberFormat="1" applyFont="1" applyBorder="1" applyAlignment="1">
      <alignment vertical="center" wrapText="1"/>
    </xf>
    <xf numFmtId="196" fontId="27" fillId="0" borderId="0" xfId="2" applyNumberFormat="1" applyFont="1" applyBorder="1" applyAlignment="1">
      <alignment vertical="center" wrapText="1"/>
    </xf>
    <xf numFmtId="0" fontId="54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1" fillId="0" borderId="0" xfId="2" applyFont="1" applyAlignment="1">
      <alignment vertical="center" wrapText="1"/>
    </xf>
    <xf numFmtId="196" fontId="33" fillId="0" borderId="0" xfId="2" applyNumberFormat="1" applyFont="1" applyAlignment="1">
      <alignment vertical="center" wrapText="1"/>
    </xf>
    <xf numFmtId="0" fontId="55" fillId="0" borderId="1" xfId="0" applyFont="1" applyFill="1" applyBorder="1" applyAlignment="1">
      <alignment horizontal="center" vertical="center"/>
    </xf>
    <xf numFmtId="196" fontId="3" fillId="0" borderId="0" xfId="2" applyNumberFormat="1" applyFont="1" applyFill="1" applyBorder="1" applyAlignment="1">
      <alignment vertical="center" wrapText="1"/>
    </xf>
    <xf numFmtId="206" fontId="0" fillId="0" borderId="0" xfId="0" applyNumberFormat="1" applyFill="1" applyBorder="1" applyAlignment="1">
      <alignment horizontal="left" vertical="center"/>
    </xf>
    <xf numFmtId="0" fontId="33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>
      <alignment vertical="center"/>
    </xf>
    <xf numFmtId="0" fontId="31" fillId="0" borderId="0" xfId="0" applyNumberFormat="1" applyFont="1" applyFill="1" applyBorder="1">
      <alignment vertical="center"/>
    </xf>
    <xf numFmtId="0" fontId="56" fillId="0" borderId="1" xfId="0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center" vertical="center" wrapText="1"/>
    </xf>
    <xf numFmtId="0" fontId="56" fillId="8" borderId="1" xfId="0" applyFont="1" applyFill="1" applyBorder="1" applyAlignment="1">
      <alignment horizontal="center" vertical="center"/>
    </xf>
    <xf numFmtId="0" fontId="57" fillId="8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/>
    </xf>
    <xf numFmtId="197" fontId="51" fillId="0" borderId="1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Border="1">
      <alignment vertical="center"/>
    </xf>
    <xf numFmtId="0" fontId="24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3" fontId="56" fillId="0" borderId="1" xfId="0" applyNumberFormat="1" applyFont="1" applyFill="1" applyBorder="1" applyAlignment="1">
      <alignment horizontal="center" vertical="center"/>
    </xf>
    <xf numFmtId="43" fontId="56" fillId="0" borderId="10" xfId="0" applyNumberFormat="1" applyFont="1" applyFill="1" applyBorder="1" applyAlignment="1">
      <alignment horizontal="center" vertical="center"/>
    </xf>
    <xf numFmtId="43" fontId="56" fillId="0" borderId="12" xfId="0" applyNumberFormat="1" applyFont="1" applyFill="1" applyBorder="1" applyAlignment="1">
      <alignment horizontal="center" vertical="center"/>
    </xf>
    <xf numFmtId="43" fontId="58" fillId="0" borderId="1" xfId="0" applyNumberFormat="1" applyFont="1" applyFill="1" applyBorder="1" applyAlignment="1">
      <alignment vertical="center"/>
    </xf>
    <xf numFmtId="43" fontId="56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horizontal="left" vertical="center"/>
    </xf>
    <xf numFmtId="203" fontId="8" fillId="0" borderId="0" xfId="0" applyNumberFormat="1" applyFont="1" applyFill="1" applyBorder="1" applyAlignment="1">
      <alignment vertical="center"/>
    </xf>
    <xf numFmtId="203" fontId="0" fillId="0" borderId="0" xfId="0" applyNumberFormat="1" applyFill="1" applyBorder="1" applyAlignment="1">
      <alignment horizontal="left" vertical="center"/>
    </xf>
    <xf numFmtId="4" fontId="33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Fill="1" applyBorder="1" applyAlignment="1">
      <alignment horizontal="left" vertical="center"/>
    </xf>
    <xf numFmtId="196" fontId="59" fillId="0" borderId="0" xfId="30239" applyNumberFormat="1" applyFont="1" applyFill="1" applyBorder="1" applyAlignment="1">
      <alignment vertical="center"/>
    </xf>
    <xf numFmtId="0" fontId="24" fillId="0" borderId="0" xfId="0" applyNumberFormat="1" applyFont="1" applyFill="1" applyBorder="1" applyAlignment="1">
      <alignment horizontal="left" vertical="center"/>
    </xf>
    <xf numFmtId="196" fontId="56" fillId="0" borderId="1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Border="1">
      <alignment vertical="center"/>
    </xf>
    <xf numFmtId="203" fontId="61" fillId="0" borderId="0" xfId="0" applyNumberFormat="1" applyFont="1" applyFill="1" applyBorder="1" applyAlignment="1">
      <alignment vertical="center"/>
    </xf>
    <xf numFmtId="43" fontId="62" fillId="0" borderId="1" xfId="0" applyNumberFormat="1" applyFont="1" applyBorder="1">
      <alignment vertical="center"/>
    </xf>
    <xf numFmtId="203" fontId="59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Border="1" applyAlignment="1">
      <alignment horizontal="center" vertical="center"/>
    </xf>
    <xf numFmtId="43" fontId="56" fillId="0" borderId="1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vertical="center"/>
    </xf>
    <xf numFmtId="203" fontId="63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49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NumberFormat="1" applyFont="1" applyFill="1" applyBorder="1" applyAlignment="1" applyProtection="1">
      <alignment vertical="center" shrinkToFit="1"/>
    </xf>
    <xf numFmtId="0" fontId="66" fillId="0" borderId="0" xfId="0" applyFont="1" applyFill="1" applyBorder="1" applyAlignment="1">
      <alignment vertical="center" wrapText="1"/>
    </xf>
    <xf numFmtId="209" fontId="16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65" fillId="0" borderId="0" xfId="0" applyNumberFormat="1" applyFont="1" applyFill="1" applyBorder="1" applyAlignment="1" applyProtection="1">
      <alignment vertical="center" shrinkToFit="1"/>
    </xf>
    <xf numFmtId="196" fontId="65" fillId="0" borderId="0" xfId="0" applyNumberFormat="1" applyFont="1" applyFill="1" applyBorder="1" applyAlignment="1" applyProtection="1">
      <alignment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19" fontId="56" fillId="0" borderId="1" xfId="0" applyNumberFormat="1" applyFont="1" applyFill="1" applyBorder="1" applyAlignment="1">
      <alignment horizontal="center" vertical="center"/>
    </xf>
    <xf numFmtId="219" fontId="60" fillId="0" borderId="1" xfId="0" applyNumberFormat="1" applyFont="1" applyFill="1" applyBorder="1" applyAlignment="1">
      <alignment horizontal="center" vertical="center"/>
    </xf>
    <xf numFmtId="219" fontId="67" fillId="0" borderId="1" xfId="0" applyNumberFormat="1" applyFont="1" applyFill="1" applyBorder="1" applyAlignment="1">
      <alignment vertical="center"/>
    </xf>
    <xf numFmtId="43" fontId="67" fillId="0" borderId="1" xfId="0" applyNumberFormat="1" applyFont="1" applyFill="1" applyBorder="1" applyAlignment="1">
      <alignment horizontal="center" vertical="center"/>
    </xf>
    <xf numFmtId="43" fontId="67" fillId="0" borderId="1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horizontal="center" vertical="center"/>
    </xf>
    <xf numFmtId="43" fontId="67" fillId="0" borderId="12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vertical="center"/>
    </xf>
    <xf numFmtId="0" fontId="67" fillId="0" borderId="1" xfId="0" applyFont="1" applyFill="1" applyBorder="1" applyAlignment="1">
      <alignment horizontal="center" vertical="center" wrapText="1"/>
    </xf>
    <xf numFmtId="219" fontId="57" fillId="0" borderId="1" xfId="0" applyNumberFormat="1" applyFont="1" applyFill="1" applyBorder="1" applyAlignment="1">
      <alignment horizontal="left" vertical="center" wrapText="1"/>
    </xf>
    <xf numFmtId="43" fontId="3" fillId="0" borderId="1" xfId="0" applyNumberFormat="1" applyFont="1" applyFill="1" applyBorder="1">
      <alignment vertical="center"/>
    </xf>
    <xf numFmtId="43" fontId="3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vertical="center"/>
    </xf>
    <xf numFmtId="43" fontId="67" fillId="0" borderId="12" xfId="0" applyNumberFormat="1" applyFont="1" applyFill="1" applyBorder="1" applyAlignment="1">
      <alignment vertical="center"/>
    </xf>
    <xf numFmtId="43" fontId="67" fillId="0" borderId="11" xfId="0" applyNumberFormat="1" applyFont="1" applyFill="1" applyBorder="1" applyAlignment="1">
      <alignment horizontal="center" vertical="center"/>
    </xf>
    <xf numFmtId="196" fontId="67" fillId="0" borderId="10" xfId="0" applyNumberFormat="1" applyFont="1" applyFill="1" applyBorder="1" applyAlignment="1">
      <alignment horizontal="center" vertical="center"/>
    </xf>
    <xf numFmtId="196" fontId="67" fillId="0" borderId="11" xfId="0" applyNumberFormat="1" applyFont="1" applyFill="1" applyBorder="1" applyAlignment="1">
      <alignment horizontal="center" vertical="center"/>
    </xf>
    <xf numFmtId="196" fontId="67" fillId="0" borderId="12" xfId="0" applyNumberFormat="1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0" fontId="68" fillId="3" borderId="11" xfId="0" applyFont="1" applyFill="1" applyBorder="1" applyAlignment="1">
      <alignment horizontal="center" vertical="center"/>
    </xf>
    <xf numFmtId="0" fontId="68" fillId="3" borderId="12" xfId="0" applyFont="1" applyFill="1" applyBorder="1" applyAlignment="1">
      <alignment horizontal="center"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0" fontId="67" fillId="0" borderId="1" xfId="0" applyFont="1" applyFill="1" applyBorder="1" applyAlignment="1">
      <alignment horizontal="left" vertical="center" wrapTex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16" fillId="0" borderId="0" xfId="0" applyNumberFormat="1" applyFont="1" applyFill="1" applyBorder="1" applyAlignment="1">
      <alignment vertical="center"/>
    </xf>
    <xf numFmtId="49" fontId="16" fillId="0" borderId="0" xfId="30239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Alignment="1">
      <alignment vertical="center" wrapText="1"/>
    </xf>
    <xf numFmtId="0" fontId="69" fillId="0" borderId="0" xfId="0" applyFont="1" applyFill="1" applyBorder="1" applyAlignment="1">
      <alignment vertical="center" wrapText="1"/>
    </xf>
    <xf numFmtId="209" fontId="16" fillId="0" borderId="0" xfId="1" applyNumberFormat="1" applyFont="1" applyFill="1" applyBorder="1" applyAlignment="1">
      <alignment vertical="center"/>
    </xf>
    <xf numFmtId="0" fontId="0" fillId="3" borderId="0" xfId="0" applyFill="1" applyBorder="1">
      <alignment vertical="center"/>
    </xf>
    <xf numFmtId="196" fontId="0" fillId="0" borderId="0" xfId="0" applyNumberFormat="1" applyBorder="1">
      <alignment vertical="center"/>
    </xf>
    <xf numFmtId="0" fontId="70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70" fillId="0" borderId="0" xfId="0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4" fontId="69" fillId="0" borderId="0" xfId="0" applyNumberFormat="1" applyFont="1" applyFill="1" applyBorder="1" applyAlignment="1">
      <alignment horizontal="left" vertical="center" wrapText="1"/>
    </xf>
    <xf numFmtId="4" fontId="0" fillId="0" borderId="0" xfId="0" applyNumberFormat="1" applyBorder="1">
      <alignment vertical="center"/>
    </xf>
    <xf numFmtId="0" fontId="70" fillId="0" borderId="0" xfId="0" applyFont="1" applyFill="1" applyBorder="1" applyAlignment="1">
      <alignment horizontal="left" vertical="center" shrinkToFit="1"/>
    </xf>
    <xf numFmtId="0" fontId="70" fillId="0" borderId="0" xfId="0" applyFont="1" applyFill="1" applyBorder="1" applyAlignment="1">
      <alignment vertical="center" shrinkToFit="1"/>
    </xf>
    <xf numFmtId="197" fontId="71" fillId="3" borderId="0" xfId="0" applyNumberFormat="1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197" fontId="9" fillId="0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197" fontId="8" fillId="8" borderId="1" xfId="0" applyNumberFormat="1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43" fontId="16" fillId="0" borderId="0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197" fontId="8" fillId="0" borderId="1" xfId="0" applyNumberFormat="1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195" fontId="16" fillId="0" borderId="0" xfId="0" applyNumberFormat="1" applyFont="1" applyFill="1" applyBorder="1" applyAlignment="1">
      <alignment horizontal="center" vertical="center"/>
    </xf>
    <xf numFmtId="199" fontId="73" fillId="0" borderId="0" xfId="0" applyNumberFormat="1" applyFont="1" applyFill="1" applyBorder="1" applyAlignment="1" applyProtection="1">
      <alignment horizontal="center" vertical="center" shrinkToFit="1"/>
    </xf>
    <xf numFmtId="0" fontId="73" fillId="0" borderId="0" xfId="0" applyFont="1" applyFill="1" applyBorder="1" applyAlignment="1" applyProtection="1">
      <alignment horizontal="center" vertical="center"/>
    </xf>
    <xf numFmtId="0" fontId="8" fillId="0" borderId="0" xfId="30237" applyNumberFormat="1" applyFont="1" applyFill="1" applyBorder="1" applyAlignment="1">
      <alignment horizontal="right" vertical="center" wrapText="1"/>
    </xf>
    <xf numFmtId="197" fontId="8" fillId="0" borderId="0" xfId="1" applyNumberFormat="1" applyFont="1" applyFill="1" applyBorder="1" applyAlignment="1">
      <alignment horizontal="left" vertical="center"/>
    </xf>
    <xf numFmtId="0" fontId="29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97" fontId="5" fillId="0" borderId="0" xfId="0" applyNumberFormat="1" applyFont="1" applyFill="1" applyBorder="1" applyAlignment="1">
      <alignment vertical="center"/>
    </xf>
    <xf numFmtId="0" fontId="74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97" fontId="9" fillId="0" borderId="1" xfId="0" applyNumberFormat="1" applyFont="1" applyFill="1" applyBorder="1" applyAlignment="1">
      <alignment vertical="center"/>
    </xf>
    <xf numFmtId="4" fontId="69" fillId="0" borderId="0" xfId="0" applyNumberFormat="1" applyFont="1" applyFill="1" applyBorder="1" applyAlignment="1">
      <alignment vertical="center" wrapText="1"/>
    </xf>
    <xf numFmtId="4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49" fontId="73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30240" applyNumberFormat="1" applyFont="1" applyFill="1" applyBorder="1" applyAlignment="1">
      <alignment vertical="center"/>
    </xf>
    <xf numFmtId="197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96" fontId="5" fillId="0" borderId="0" xfId="0" applyNumberFormat="1" applyFont="1" applyFill="1" applyBorder="1" applyAlignment="1">
      <alignment horizontal="left" vertical="center"/>
    </xf>
    <xf numFmtId="14" fontId="17" fillId="0" borderId="0" xfId="0" applyNumberFormat="1" applyFont="1" applyFill="1" applyBorder="1" applyAlignment="1">
      <alignment horizontal="center" vertical="center"/>
    </xf>
    <xf numFmtId="49" fontId="74" fillId="0" borderId="0" xfId="0" applyNumberFormat="1" applyFont="1" applyFill="1" applyBorder="1" applyAlignment="1" applyProtection="1">
      <alignment horizontal="center" vertical="center" shrinkToFit="1"/>
    </xf>
    <xf numFmtId="0" fontId="74" fillId="0" borderId="0" xfId="0" applyFont="1" applyFill="1" applyBorder="1" applyAlignment="1" applyProtection="1">
      <alignment horizontal="center" vertical="center"/>
    </xf>
    <xf numFmtId="197" fontId="8" fillId="0" borderId="0" xfId="0" applyNumberFormat="1" applyFont="1">
      <alignment vertical="center"/>
    </xf>
    <xf numFmtId="4" fontId="8" fillId="0" borderId="0" xfId="0" applyNumberFormat="1" applyFont="1">
      <alignment vertical="center"/>
    </xf>
    <xf numFmtId="14" fontId="5" fillId="0" borderId="0" xfId="0" applyNumberFormat="1" applyFont="1" applyFill="1" applyBorder="1" applyAlignment="1">
      <alignment horizontal="left" vertical="center"/>
    </xf>
    <xf numFmtId="196" fontId="17" fillId="0" borderId="0" xfId="0" applyNumberFormat="1" applyFont="1" applyFill="1" applyBorder="1" applyAlignment="1">
      <alignment horizontal="center" vertical="center"/>
    </xf>
    <xf numFmtId="199" fontId="74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>
      <alignment vertical="center" shrinkToFit="1"/>
    </xf>
    <xf numFmtId="0" fontId="8" fillId="0" borderId="23" xfId="0" applyFont="1" applyFill="1" applyBorder="1" applyAlignment="1">
      <alignment vertical="center"/>
    </xf>
    <xf numFmtId="197" fontId="8" fillId="0" borderId="24" xfId="0" applyNumberFormat="1" applyFont="1" applyFill="1" applyBorder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43" fontId="8" fillId="0" borderId="26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214" fontId="8" fillId="0" borderId="0" xfId="0" applyNumberFormat="1" applyFont="1">
      <alignment vertical="center"/>
    </xf>
    <xf numFmtId="220" fontId="8" fillId="0" borderId="0" xfId="0" applyNumberFormat="1" applyFo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7" applyNumberFormat="1" applyFont="1" applyFill="1" applyBorder="1" applyAlignment="1">
      <alignment vertical="center" wrapText="1"/>
    </xf>
    <xf numFmtId="199" fontId="16" fillId="0" borderId="0" xfId="0" applyNumberFormat="1" applyFont="1" applyFill="1" applyBorder="1" applyAlignment="1" applyProtection="1">
      <alignment vertical="center" shrinkToFit="1"/>
    </xf>
    <xf numFmtId="14" fontId="24" fillId="0" borderId="0" xfId="0" applyNumberFormat="1" applyFont="1" applyFill="1" applyBorder="1">
      <alignment vertical="center"/>
    </xf>
    <xf numFmtId="0" fontId="24" fillId="0" borderId="0" xfId="0" applyFont="1" applyFill="1" applyBorder="1">
      <alignment vertical="center"/>
    </xf>
    <xf numFmtId="203" fontId="34" fillId="0" borderId="0" xfId="0" applyNumberFormat="1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>
      <alignment vertical="center"/>
    </xf>
    <xf numFmtId="0" fontId="75" fillId="0" borderId="0" xfId="0" applyNumberFormat="1" applyFont="1" applyFill="1" applyBorder="1" applyAlignment="1" applyProtection="1">
      <alignment horizontal="center" vertical="center" wrapText="1"/>
    </xf>
    <xf numFmtId="197" fontId="16" fillId="0" borderId="0" xfId="1" applyNumberFormat="1" applyFont="1" applyFill="1" applyBorder="1" applyAlignment="1">
      <alignment vertical="center"/>
    </xf>
    <xf numFmtId="196" fontId="16" fillId="0" borderId="0" xfId="0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vertical="center" wrapText="1"/>
    </xf>
    <xf numFmtId="49" fontId="73" fillId="0" borderId="0" xfId="0" applyNumberFormat="1" applyFont="1" applyFill="1" applyBorder="1" applyAlignment="1" applyProtection="1">
      <alignment vertical="center" shrinkToFit="1"/>
    </xf>
    <xf numFmtId="0" fontId="7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199" fontId="73" fillId="0" borderId="0" xfId="0" applyNumberFormat="1" applyFont="1" applyFill="1" applyBorder="1" applyAlignment="1" applyProtection="1">
      <alignment vertical="center" shrinkToFit="1"/>
    </xf>
    <xf numFmtId="0" fontId="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43" fontId="24" fillId="0" borderId="0" xfId="0" applyNumberFormat="1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3" fillId="1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17" borderId="1" xfId="0" applyNumberFormat="1" applyFont="1" applyFill="1" applyBorder="1" applyAlignment="1">
      <alignment horizontal="center" vertical="center" wrapText="1"/>
    </xf>
    <xf numFmtId="43" fontId="3" fillId="18" borderId="1" xfId="0" applyNumberFormat="1" applyFont="1" applyFill="1" applyBorder="1" applyAlignment="1">
      <alignment horizontal="center" vertical="center" wrapText="1"/>
    </xf>
    <xf numFmtId="43" fontId="44" fillId="0" borderId="1" xfId="0" applyNumberFormat="1" applyFont="1" applyBorder="1" applyAlignment="1">
      <alignment horizontal="center" vertical="center"/>
    </xf>
    <xf numFmtId="43" fontId="24" fillId="8" borderId="1" xfId="0" applyNumberFormat="1" applyFont="1" applyFill="1" applyBorder="1" applyAlignment="1">
      <alignment horizontal="center" vertical="center"/>
    </xf>
    <xf numFmtId="43" fontId="24" fillId="0" borderId="1" xfId="0" applyNumberFormat="1" applyFont="1" applyBorder="1" applyAlignment="1">
      <alignment horizontal="center" vertical="center"/>
    </xf>
    <xf numFmtId="43" fontId="24" fillId="10" borderId="1" xfId="0" applyNumberFormat="1" applyFont="1" applyFill="1" applyBorder="1" applyAlignment="1">
      <alignment horizontal="center" vertical="center"/>
    </xf>
    <xf numFmtId="43" fontId="24" fillId="0" borderId="1" xfId="0" applyNumberFormat="1" applyFont="1" applyBorder="1">
      <alignment vertical="center"/>
    </xf>
    <xf numFmtId="43" fontId="24" fillId="8" borderId="1" xfId="0" applyNumberFormat="1" applyFont="1" applyFill="1" applyBorder="1">
      <alignment vertical="center"/>
    </xf>
    <xf numFmtId="43" fontId="24" fillId="10" borderId="1" xfId="0" applyNumberFormat="1" applyFont="1" applyFill="1" applyBorder="1">
      <alignment vertical="center"/>
    </xf>
    <xf numFmtId="43" fontId="24" fillId="0" borderId="1" xfId="0" applyNumberFormat="1" applyFont="1" applyFill="1" applyBorder="1">
      <alignment vertical="center"/>
    </xf>
    <xf numFmtId="0" fontId="71" fillId="0" borderId="0" xfId="0" applyFont="1" applyBorder="1">
      <alignment vertical="center"/>
    </xf>
    <xf numFmtId="0" fontId="77" fillId="0" borderId="0" xfId="6" applyFont="1" applyBorder="1">
      <alignment vertical="center"/>
    </xf>
    <xf numFmtId="196" fontId="24" fillId="0" borderId="0" xfId="0" applyNumberFormat="1" applyFont="1" applyBorder="1">
      <alignment vertical="center"/>
    </xf>
    <xf numFmtId="214" fontId="24" fillId="0" borderId="0" xfId="0" applyNumberFormat="1" applyFont="1" applyBorder="1">
      <alignment vertical="center"/>
    </xf>
    <xf numFmtId="43" fontId="44" fillId="0" borderId="1" xfId="0" applyNumberFormat="1" applyFont="1" applyBorder="1">
      <alignment vertical="center"/>
    </xf>
    <xf numFmtId="43" fontId="44" fillId="3" borderId="1" xfId="0" applyNumberFormat="1" applyFont="1" applyFill="1" applyBorder="1">
      <alignment vertical="center"/>
    </xf>
    <xf numFmtId="197" fontId="24" fillId="0" borderId="0" xfId="0" applyNumberFormat="1" applyFont="1" applyBorder="1">
      <alignment vertical="center"/>
    </xf>
    <xf numFmtId="197" fontId="24" fillId="0" borderId="0" xfId="0" applyNumberFormat="1" applyFont="1" applyFill="1" applyBorder="1">
      <alignment vertical="center"/>
    </xf>
    <xf numFmtId="3" fontId="78" fillId="0" borderId="0" xfId="0" applyNumberFormat="1" applyFont="1">
      <alignment vertical="center"/>
    </xf>
    <xf numFmtId="43" fontId="44" fillId="0" borderId="0" xfId="0" applyNumberFormat="1" applyFont="1" applyBorder="1" applyAlignment="1">
      <alignment horizontal="center" vertical="center"/>
    </xf>
    <xf numFmtId="43" fontId="3" fillId="0" borderId="0" xfId="0" applyNumberFormat="1" applyFont="1" applyBorder="1" applyAlignment="1">
      <alignment horizontal="center" vertical="center" wrapText="1"/>
    </xf>
    <xf numFmtId="43" fontId="24" fillId="0" borderId="0" xfId="0" applyNumberFormat="1" applyFont="1" applyBorder="1" applyAlignment="1">
      <alignment horizontal="center" vertical="center"/>
    </xf>
    <xf numFmtId="43" fontId="24" fillId="0" borderId="0" xfId="0" applyNumberFormat="1" applyFont="1" applyFill="1" applyBorder="1">
      <alignment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5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35" fillId="0" borderId="0" xfId="0" applyFont="1" quotePrefix="1">
      <alignment vertical="center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9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0" fontId="0" fillId="6" borderId="0" xfId="0" applyNumberFormat="1" applyFont="1" applyFill="1" applyBorder="1" applyAlignment="1" quotePrefix="1">
      <alignment horizontal="center" vertical="center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6" borderId="0" xfId="0" applyFont="1" applyFill="1" applyBorder="1" applyAlignment="1" quotePrefix="1">
      <alignment horizontal="center" vertical="center"/>
    </xf>
    <xf numFmtId="0" fontId="0" fillId="5" borderId="0" xfId="0" applyFont="1" applyFill="1" applyBorder="1" applyAlignment="1" quotePrefix="1">
      <alignment horizontal="center" vertical="center"/>
    </xf>
    <xf numFmtId="0" fontId="0" fillId="6" borderId="0" xfId="0" applyFont="1" applyFill="1" applyBorder="1" applyAlignment="1" quotePrefix="1">
      <alignment horizontal="center" vertical="center" wrapText="1"/>
    </xf>
    <xf numFmtId="0" fontId="0" fillId="2" borderId="0" xfId="0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tyles" Target="styles.xml"/><Relationship Id="rId34" Type="http://schemas.openxmlformats.org/officeDocument/2006/relationships/sharedStrings" Target="sharedString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.xml"/><Relationship Id="rId30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4"/>
  <sheetViews>
    <sheetView zoomScale="90" zoomScaleNormal="90" topLeftCell="F1" workbookViewId="0">
      <selection activeCell="S25" sqref="S25"/>
    </sheetView>
  </sheetViews>
  <sheetFormatPr defaultColWidth="9" defaultRowHeight="21" customHeight="1"/>
  <cols>
    <col min="1" max="1" width="5.875" style="995" customWidth="1"/>
    <col min="2" max="2" width="6.5" style="995" customWidth="1"/>
    <col min="3" max="3" width="19.1583333333333" style="996" customWidth="1"/>
    <col min="4" max="5" width="17.875" style="996"/>
    <col min="6" max="6" width="18.25" style="996"/>
    <col min="7" max="7" width="18.25" style="996" customWidth="1"/>
    <col min="8" max="8" width="16.6666666666667" style="996" customWidth="1"/>
    <col min="9" max="9" width="13.5" style="996" customWidth="1"/>
    <col min="10" max="10" width="17.375" style="996" customWidth="1"/>
    <col min="11" max="11" width="20" style="996" customWidth="1"/>
    <col min="12" max="12" width="24.3" style="996" customWidth="1"/>
    <col min="13" max="13" width="17.5" style="996" customWidth="1"/>
    <col min="14" max="14" width="18.125" style="995" customWidth="1"/>
    <col min="15" max="15" width="17.775" style="995" hidden="1" customWidth="1"/>
    <col min="16" max="16" width="21.525" style="995" customWidth="1"/>
    <col min="17" max="17" width="18.6083333333333" style="995" customWidth="1"/>
    <col min="18" max="18" width="13.75" style="995"/>
    <col min="19" max="19" width="16" style="995"/>
    <col min="20" max="20" width="12.625" style="995"/>
    <col min="21" max="21" width="14.875" style="995"/>
    <col min="22" max="22" width="9" style="995"/>
    <col min="23" max="24" width="12.625" style="995"/>
    <col min="25" max="25" width="9" style="995"/>
    <col min="26" max="26" width="12.625" style="995"/>
    <col min="27" max="16384" width="9" style="995"/>
  </cols>
  <sheetData>
    <row r="1" s="106" customFormat="1" customHeight="1" spans="1:25">
      <c r="B1" s="997" t="s">
        <v>0</v>
      </c>
      <c r="C1" s="998"/>
      <c r="D1" s="998"/>
      <c r="E1" s="998"/>
      <c r="F1" s="998"/>
      <c r="G1" s="998"/>
      <c r="H1" s="998"/>
      <c r="I1" s="998"/>
      <c r="J1" s="998"/>
      <c r="K1" s="998"/>
      <c r="L1" s="998"/>
      <c r="M1" s="998"/>
      <c r="N1" s="998"/>
    </row>
    <row r="2" s="993" customFormat="1" ht="32" customHeight="1" spans="1:25">
      <c r="B2" s="999"/>
      <c r="C2" s="1000" t="s">
        <v>1</v>
      </c>
      <c r="D2" s="1000"/>
      <c r="E2" s="1000"/>
      <c r="F2" s="1000"/>
      <c r="G2" s="1001" t="s">
        <v>2</v>
      </c>
      <c r="H2" s="1001"/>
      <c r="I2" s="1001"/>
      <c r="J2" s="1001"/>
      <c r="K2" s="1002" t="s">
        <v>3</v>
      </c>
      <c r="L2" s="1003" t="s">
        <v>4</v>
      </c>
      <c r="M2" s="1004" t="s">
        <v>5</v>
      </c>
      <c r="N2" s="1004"/>
    </row>
    <row r="3" s="994" customFormat="1" customHeight="1" spans="1:25">
      <c r="B3" s="647" t="s">
        <v>6</v>
      </c>
      <c r="C3" s="1005" t="s">
        <v>7</v>
      </c>
      <c r="D3" s="1005" t="s">
        <v>8</v>
      </c>
      <c r="E3" s="1005" t="s">
        <v>9</v>
      </c>
      <c r="F3" s="1006" t="s">
        <v>10</v>
      </c>
      <c r="G3" s="1007" t="s">
        <v>11</v>
      </c>
      <c r="H3" s="1007" t="s">
        <v>12</v>
      </c>
      <c r="I3" s="1007" t="s">
        <v>13</v>
      </c>
      <c r="J3" s="1008" t="s">
        <v>10</v>
      </c>
      <c r="K3" s="1007"/>
      <c r="L3" s="1007"/>
      <c r="M3" s="1007" t="s">
        <v>7</v>
      </c>
      <c r="N3" s="647" t="s">
        <v>14</v>
      </c>
    </row>
    <row r="4" hidden="1" customHeight="1" spans="1:25">
      <c r="B4" s="660" t="s">
        <v>15</v>
      </c>
      <c r="C4" s="1009">
        <v>278868823</v>
      </c>
      <c r="D4" s="1009">
        <v>577229</v>
      </c>
      <c r="E4" s="1009"/>
      <c r="F4" s="1010">
        <f>C4+D4+E4</f>
        <v>279446052</v>
      </c>
      <c r="G4" s="1009">
        <f t="shared" ref="G4:G17" si="0">C4/1.09*0.09</f>
        <v>23025866.1192661</v>
      </c>
      <c r="H4" s="1009">
        <f t="shared" ref="H4:H20" si="1">D4/1.09*0.09</f>
        <v>47661.1100917431</v>
      </c>
      <c r="I4" s="1009">
        <f t="shared" ref="I4:I21" si="2">E4/1.09*0.09</f>
        <v>0</v>
      </c>
      <c r="J4" s="1011">
        <f>G4+H4+I4</f>
        <v>23073527.2293578</v>
      </c>
      <c r="K4" s="1009"/>
      <c r="L4" s="1009"/>
      <c r="M4" s="1009"/>
      <c r="N4" s="660"/>
      <c r="P4" s="995">
        <f>J4+N4</f>
        <v>23073527.2293578</v>
      </c>
      <c r="R4" s="995">
        <f t="shared" ref="R4:R11" si="3">C4+E4+D4-K4</f>
        <v>279446052</v>
      </c>
    </row>
    <row r="5" hidden="1" customHeight="1" spans="1:25">
      <c r="B5" s="660" t="s">
        <v>16</v>
      </c>
      <c r="C5" s="1009">
        <v>16205837</v>
      </c>
      <c r="D5" s="1009">
        <v>900394</v>
      </c>
      <c r="E5" s="1009">
        <v>1178000</v>
      </c>
      <c r="F5" s="1010">
        <f t="shared" ref="F4:F25" si="4">C5+D5+E5</f>
        <v>18284231</v>
      </c>
      <c r="G5" s="1009">
        <f t="shared" si="0"/>
        <v>1338096.63302752</v>
      </c>
      <c r="H5" s="1009">
        <f t="shared" si="1"/>
        <v>74344.4587155963</v>
      </c>
      <c r="I5" s="1009">
        <f t="shared" si="2"/>
        <v>97266.0550458716</v>
      </c>
      <c r="J5" s="1011">
        <f t="shared" ref="J4:J25" si="5">G5+H5+I5</f>
        <v>1509707.14678899</v>
      </c>
      <c r="K5" s="1009">
        <v>37431244</v>
      </c>
      <c r="L5" s="1009" t="s">
        <v>17</v>
      </c>
      <c r="M5" s="1009"/>
      <c r="N5" s="660"/>
      <c r="P5" s="995">
        <f>J5+N5</f>
        <v>1509707.14678899</v>
      </c>
      <c r="R5" s="995">
        <f t="shared" si="3"/>
        <v>-19147013</v>
      </c>
      <c r="S5" s="995">
        <f t="shared" ref="S4:S11" si="6">R5/1.09</f>
        <v>-17566066.9724771</v>
      </c>
    </row>
    <row r="6" hidden="1" customHeight="1" spans="1:25">
      <c r="B6" s="660" t="s">
        <v>18</v>
      </c>
      <c r="C6" s="1009"/>
      <c r="D6" s="1009">
        <v>56960</v>
      </c>
      <c r="E6" s="1009">
        <v>304240</v>
      </c>
      <c r="F6" s="1010">
        <f t="shared" si="4"/>
        <v>361200</v>
      </c>
      <c r="G6" s="1009">
        <f t="shared" si="0"/>
        <v>0</v>
      </c>
      <c r="H6" s="1009">
        <f t="shared" si="1"/>
        <v>4703.11926605505</v>
      </c>
      <c r="I6" s="1009">
        <f t="shared" si="2"/>
        <v>25120.7339449541</v>
      </c>
      <c r="J6" s="1011">
        <f t="shared" si="5"/>
        <v>29823.8532110091</v>
      </c>
      <c r="K6" s="1009">
        <v>16338184</v>
      </c>
      <c r="L6" s="1009" t="s">
        <v>17</v>
      </c>
      <c r="M6" s="1009">
        <v>10864302</v>
      </c>
      <c r="N6" s="1009">
        <f t="shared" ref="N6:N21" si="7">M6/1.09*0.09</f>
        <v>897052.458715596</v>
      </c>
      <c r="P6" s="995">
        <f t="shared" ref="P5:P17" si="8">J6+N6</f>
        <v>926876.311926605</v>
      </c>
      <c r="R6" s="995">
        <f t="shared" si="3"/>
        <v>-15976984</v>
      </c>
      <c r="S6" s="995">
        <f t="shared" si="6"/>
        <v>-14657783.4862385</v>
      </c>
    </row>
    <row r="7" hidden="1" customHeight="1" spans="1:25">
      <c r="B7" s="660" t="s">
        <v>19</v>
      </c>
      <c r="C7" s="1009"/>
      <c r="D7" s="1009">
        <f>-106935+249275</f>
        <v>142340</v>
      </c>
      <c r="E7" s="1009">
        <v>108360</v>
      </c>
      <c r="F7" s="1010">
        <f t="shared" si="4"/>
        <v>250700</v>
      </c>
      <c r="G7" s="1009">
        <f t="shared" si="0"/>
        <v>0</v>
      </c>
      <c r="H7" s="1009">
        <f t="shared" si="1"/>
        <v>11752.8440366972</v>
      </c>
      <c r="I7" s="1009">
        <f t="shared" si="2"/>
        <v>8947.15596330275</v>
      </c>
      <c r="J7" s="1011">
        <f t="shared" si="5"/>
        <v>20699.9999999999</v>
      </c>
      <c r="K7" s="1009">
        <f>31364278+18734175</f>
        <v>50098453</v>
      </c>
      <c r="L7" s="1009" t="s">
        <v>17</v>
      </c>
      <c r="M7" s="1009">
        <v>2110283</v>
      </c>
      <c r="N7" s="1009">
        <f t="shared" si="7"/>
        <v>174243.550458716</v>
      </c>
      <c r="P7" s="995">
        <f t="shared" si="8"/>
        <v>194943.550458716</v>
      </c>
      <c r="R7" s="995">
        <f t="shared" si="3"/>
        <v>-49847753</v>
      </c>
      <c r="S7" s="995">
        <f t="shared" si="6"/>
        <v>-45731883.4862385</v>
      </c>
    </row>
    <row r="8" hidden="1" customHeight="1" spans="1:25">
      <c r="B8" s="660" t="s">
        <v>20</v>
      </c>
      <c r="C8" s="1012">
        <v>14938832</v>
      </c>
      <c r="D8" s="1009">
        <v>133155</v>
      </c>
      <c r="E8" s="1009">
        <v>33880</v>
      </c>
      <c r="F8" s="1010">
        <f t="shared" si="4"/>
        <v>15105867</v>
      </c>
      <c r="G8" s="1009">
        <f t="shared" si="0"/>
        <v>1233481.5412844</v>
      </c>
      <c r="H8" s="1009">
        <f t="shared" si="1"/>
        <v>10994.4495412844</v>
      </c>
      <c r="I8" s="1009">
        <f t="shared" si="2"/>
        <v>2797.43119266055</v>
      </c>
      <c r="J8" s="1011">
        <f t="shared" si="5"/>
        <v>1247273.42201834</v>
      </c>
      <c r="K8" s="1009">
        <f>58971415+3182181</f>
        <v>62153596</v>
      </c>
      <c r="L8" s="1009" t="s">
        <v>17</v>
      </c>
      <c r="M8" s="1009">
        <f>1444648+444367</f>
        <v>1889015</v>
      </c>
      <c r="N8" s="1009">
        <f t="shared" si="7"/>
        <v>155973.71559633</v>
      </c>
      <c r="P8" s="995">
        <f t="shared" si="8"/>
        <v>1403247.13761467</v>
      </c>
      <c r="R8" s="995">
        <f t="shared" si="3"/>
        <v>-47047729</v>
      </c>
      <c r="S8" s="995">
        <f t="shared" si="6"/>
        <v>-43163054.1284404</v>
      </c>
    </row>
    <row r="9" hidden="1" customHeight="1" spans="1:25">
      <c r="B9" s="660"/>
      <c r="C9" s="1009"/>
      <c r="D9" s="1009"/>
      <c r="E9" s="1009"/>
      <c r="F9" s="1010">
        <f t="shared" si="4"/>
        <v>0</v>
      </c>
      <c r="G9" s="1009">
        <f t="shared" si="0"/>
        <v>0</v>
      </c>
      <c r="H9" s="1009">
        <f t="shared" si="1"/>
        <v>0</v>
      </c>
      <c r="I9" s="1009">
        <f t="shared" si="2"/>
        <v>0</v>
      </c>
      <c r="J9" s="1011">
        <f t="shared" si="5"/>
        <v>0</v>
      </c>
      <c r="K9" s="1009"/>
      <c r="L9" s="1009"/>
      <c r="M9" s="1009"/>
      <c r="N9" s="660"/>
      <c r="P9" s="995">
        <f t="shared" si="8"/>
        <v>0</v>
      </c>
      <c r="R9" s="995">
        <f t="shared" si="3"/>
        <v>0</v>
      </c>
      <c r="S9" s="995">
        <f t="shared" si="6"/>
        <v>0</v>
      </c>
    </row>
    <row r="10" hidden="1" customHeight="1" spans="1:25">
      <c r="A10" s="995" t="s">
        <v>21</v>
      </c>
      <c r="B10" s="660" t="s">
        <v>22</v>
      </c>
      <c r="C10" s="1009"/>
      <c r="D10" s="1009"/>
      <c r="E10" s="1009"/>
      <c r="F10" s="1010">
        <f t="shared" si="4"/>
        <v>0</v>
      </c>
      <c r="G10" s="1009">
        <f t="shared" si="0"/>
        <v>0</v>
      </c>
      <c r="H10" s="1009">
        <f t="shared" si="1"/>
        <v>0</v>
      </c>
      <c r="I10" s="1009">
        <f t="shared" si="2"/>
        <v>0</v>
      </c>
      <c r="J10" s="1011">
        <f t="shared" si="5"/>
        <v>0</v>
      </c>
      <c r="K10" s="1009">
        <v>10337095</v>
      </c>
      <c r="L10" s="1009" t="s">
        <v>17</v>
      </c>
      <c r="M10" s="1009">
        <f>850000+1260000</f>
        <v>2110000</v>
      </c>
      <c r="N10" s="1009">
        <f t="shared" si="7"/>
        <v>174220.183486239</v>
      </c>
      <c r="P10" s="995">
        <f t="shared" si="8"/>
        <v>174220.183486239</v>
      </c>
      <c r="R10" s="995">
        <f t="shared" si="3"/>
        <v>-10337095</v>
      </c>
      <c r="S10" s="995">
        <f t="shared" si="6"/>
        <v>-9483573.39449541</v>
      </c>
    </row>
    <row r="11" hidden="1" customHeight="1" spans="1:25">
      <c r="B11" s="660" t="s">
        <v>23</v>
      </c>
      <c r="C11" s="1009"/>
      <c r="D11" s="1009">
        <f>50000+41851+75831+36056-157636.5-87485</f>
        <v>-41383.5</v>
      </c>
      <c r="E11" s="1009"/>
      <c r="F11" s="1010">
        <f t="shared" si="4"/>
        <v>-41383.5</v>
      </c>
      <c r="G11" s="1009">
        <f t="shared" si="0"/>
        <v>0</v>
      </c>
      <c r="H11" s="1009">
        <f t="shared" si="1"/>
        <v>-3416.98623853211</v>
      </c>
      <c r="I11" s="1009">
        <f t="shared" si="2"/>
        <v>0</v>
      </c>
      <c r="J11" s="1011">
        <f t="shared" si="5"/>
        <v>-3416.98623853211</v>
      </c>
      <c r="K11" s="1009">
        <f>20734512+3090937</f>
        <v>23825449</v>
      </c>
      <c r="L11" s="1009" t="s">
        <v>17</v>
      </c>
      <c r="M11" s="1009">
        <f>1404367+1069787+794672+590000</f>
        <v>3858826</v>
      </c>
      <c r="N11" s="1009">
        <f t="shared" si="7"/>
        <v>318618.660550459</v>
      </c>
      <c r="P11" s="995">
        <f t="shared" si="8"/>
        <v>315201.674311927</v>
      </c>
      <c r="R11" s="995">
        <f t="shared" si="3"/>
        <v>-23866832.5</v>
      </c>
      <c r="S11" s="995">
        <f t="shared" si="6"/>
        <v>-21896176.6055046</v>
      </c>
    </row>
    <row r="12" hidden="1" customHeight="1" spans="1:25">
      <c r="B12" s="660" t="s">
        <v>24</v>
      </c>
      <c r="C12" s="1009"/>
      <c r="D12" s="1009">
        <v>-79489</v>
      </c>
      <c r="E12" s="1009"/>
      <c r="F12" s="1010">
        <f t="shared" si="4"/>
        <v>-79489</v>
      </c>
      <c r="G12" s="1009">
        <f t="shared" si="0"/>
        <v>0</v>
      </c>
      <c r="H12" s="1009">
        <f t="shared" si="1"/>
        <v>-6563.3119266055</v>
      </c>
      <c r="I12" s="1009">
        <f t="shared" si="2"/>
        <v>0</v>
      </c>
      <c r="J12" s="1011">
        <f t="shared" si="5"/>
        <v>-6563.3119266055</v>
      </c>
      <c r="K12" s="1009">
        <f>45214055+1643084</f>
        <v>46857139</v>
      </c>
      <c r="L12" s="1009" t="s">
        <v>17</v>
      </c>
      <c r="M12" s="1009">
        <v>583956</v>
      </c>
      <c r="N12" s="1009">
        <f t="shared" si="7"/>
        <v>48216.5504587156</v>
      </c>
      <c r="P12" s="995">
        <f t="shared" si="8"/>
        <v>41653.2385321101</v>
      </c>
      <c r="R12" s="995">
        <f>46857139+79489+51496</f>
        <v>46988124</v>
      </c>
      <c r="S12" s="995">
        <f>-R12/1.09</f>
        <v>-43108370.6422018</v>
      </c>
      <c r="T12" s="995">
        <f>46857139+583956+51496</f>
        <v>47492591</v>
      </c>
      <c r="U12" s="995">
        <f>T12/1.09</f>
        <v>43571184.4036697</v>
      </c>
    </row>
    <row r="13" hidden="1" customHeight="1" spans="1:25">
      <c r="B13" s="660" t="s">
        <v>25</v>
      </c>
      <c r="C13" s="1009">
        <v>211152844</v>
      </c>
      <c r="D13" s="1009">
        <v>-103006</v>
      </c>
      <c r="E13" s="1009">
        <v>151810</v>
      </c>
      <c r="F13" s="1010">
        <f t="shared" si="4"/>
        <v>211201648</v>
      </c>
      <c r="G13" s="1009">
        <f t="shared" si="0"/>
        <v>17434638.4954128</v>
      </c>
      <c r="H13" s="1009">
        <f t="shared" si="1"/>
        <v>-8505.08256880734</v>
      </c>
      <c r="I13" s="1009">
        <f t="shared" si="2"/>
        <v>12534.7706422018</v>
      </c>
      <c r="J13" s="1011">
        <f t="shared" si="5"/>
        <v>17438668.1834862</v>
      </c>
      <c r="K13" s="1009">
        <f>48592370+2159064</f>
        <v>50751434</v>
      </c>
      <c r="L13" s="1009" t="s">
        <v>26</v>
      </c>
      <c r="M13" s="1009"/>
      <c r="N13" s="1009">
        <f t="shared" si="7"/>
        <v>0</v>
      </c>
      <c r="P13" s="995">
        <f t="shared" si="8"/>
        <v>17438668.1834862</v>
      </c>
      <c r="R13" s="995">
        <f>C13+D13+E13-K13-360000</f>
        <v>160090214</v>
      </c>
      <c r="S13" s="995">
        <f t="shared" ref="S12:S21" si="9">R13/1.09</f>
        <v>146871755.963303</v>
      </c>
      <c r="T13" s="995">
        <f>50751434+360000</f>
        <v>51111434</v>
      </c>
      <c r="U13" s="995">
        <f>T13/1.09</f>
        <v>46891223.853211</v>
      </c>
      <c r="W13" s="995">
        <v>13733131.39</v>
      </c>
      <c r="X13" s="995">
        <f>P13-W13</f>
        <v>3705536.7934862</v>
      </c>
    </row>
    <row r="14" hidden="1" customHeight="1" spans="1:25">
      <c r="B14" s="660" t="s">
        <v>27</v>
      </c>
      <c r="C14" s="1009">
        <v>5602998</v>
      </c>
      <c r="D14" s="1009">
        <f>90202-26734</f>
        <v>63468</v>
      </c>
      <c r="E14" s="1009">
        <v>525825</v>
      </c>
      <c r="F14" s="1010">
        <f t="shared" si="4"/>
        <v>6192291</v>
      </c>
      <c r="G14" s="1009">
        <f t="shared" si="0"/>
        <v>462632.862385321</v>
      </c>
      <c r="H14" s="1009">
        <f t="shared" si="1"/>
        <v>5240.47706422018</v>
      </c>
      <c r="I14" s="1009">
        <f t="shared" si="2"/>
        <v>43416.743119266</v>
      </c>
      <c r="J14" s="1011">
        <f t="shared" si="5"/>
        <v>511290.082568807</v>
      </c>
      <c r="K14" s="1009">
        <f>990722+594770</f>
        <v>1585492</v>
      </c>
      <c r="L14" s="1009" t="s">
        <v>26</v>
      </c>
      <c r="M14" s="1009">
        <f>672429+463000</f>
        <v>1135429</v>
      </c>
      <c r="N14" s="1009">
        <f t="shared" si="7"/>
        <v>93751.0183486239</v>
      </c>
      <c r="P14" s="995">
        <f t="shared" si="8"/>
        <v>605041.100917431</v>
      </c>
      <c r="R14" s="995">
        <f>C14+D14+E14-K14</f>
        <v>4606799</v>
      </c>
      <c r="S14" s="995">
        <f t="shared" si="9"/>
        <v>4226421.10091743</v>
      </c>
    </row>
    <row r="15" hidden="1" customHeight="1" spans="1:25">
      <c r="B15" s="660" t="s">
        <v>28</v>
      </c>
      <c r="C15" s="1009">
        <v>2070978</v>
      </c>
      <c r="D15" s="1009"/>
      <c r="E15" s="1009">
        <v>191239</v>
      </c>
      <c r="F15" s="1010">
        <f t="shared" si="4"/>
        <v>2262217</v>
      </c>
      <c r="G15" s="1009">
        <f t="shared" si="0"/>
        <v>170998.183486239</v>
      </c>
      <c r="H15" s="1009">
        <f t="shared" si="1"/>
        <v>0</v>
      </c>
      <c r="I15" s="1009">
        <f t="shared" si="2"/>
        <v>15790.376146789</v>
      </c>
      <c r="J15" s="1011">
        <f t="shared" si="5"/>
        <v>186788.559633028</v>
      </c>
      <c r="K15" s="1009">
        <v>46661780</v>
      </c>
      <c r="L15" s="1009" t="s">
        <v>26</v>
      </c>
      <c r="M15" s="1009">
        <v>2050016</v>
      </c>
      <c r="N15" s="1009">
        <f t="shared" si="7"/>
        <v>169267.376146789</v>
      </c>
      <c r="P15" s="995">
        <f t="shared" si="8"/>
        <v>356055.935779817</v>
      </c>
      <c r="R15" s="995">
        <f>C15+D15+E15-K15-161282</f>
        <v>-44560845</v>
      </c>
      <c r="S15" s="995">
        <f t="shared" si="9"/>
        <v>-40881509.1743119</v>
      </c>
      <c r="T15" s="995">
        <f>K15+M15+161282</f>
        <v>48873078</v>
      </c>
      <c r="U15" s="995">
        <f t="shared" ref="U15:U21" si="10">T15/1.09</f>
        <v>44837686.2385321</v>
      </c>
      <c r="W15" s="1013" t="s">
        <v>29</v>
      </c>
      <c r="Y15" s="1014"/>
    </row>
    <row r="16" hidden="1" customHeight="1" spans="1:25">
      <c r="B16" s="660" t="s">
        <v>30</v>
      </c>
      <c r="C16" s="1009">
        <v>1255957</v>
      </c>
      <c r="D16" s="1009"/>
      <c r="E16" s="1009">
        <v>20000</v>
      </c>
      <c r="F16" s="1010">
        <f t="shared" si="4"/>
        <v>1275957</v>
      </c>
      <c r="G16" s="1009">
        <f t="shared" si="0"/>
        <v>103702.871559633</v>
      </c>
      <c r="H16" s="1009">
        <f t="shared" si="1"/>
        <v>0</v>
      </c>
      <c r="I16" s="1009">
        <f t="shared" si="2"/>
        <v>1651.37614678899</v>
      </c>
      <c r="J16" s="1011">
        <f t="shared" si="5"/>
        <v>105354.247706422</v>
      </c>
      <c r="K16" s="1009">
        <v>57254035</v>
      </c>
      <c r="L16" s="1009" t="s">
        <v>26</v>
      </c>
      <c r="M16" s="1009">
        <f>604503+2074798</f>
        <v>2679301</v>
      </c>
      <c r="N16" s="1009">
        <f t="shared" si="7"/>
        <v>221226.688073394</v>
      </c>
      <c r="P16" s="995">
        <f>J16+N16+(-28353/1.09*0.09)</f>
        <v>324239.862385321</v>
      </c>
      <c r="R16" s="995">
        <f>C16+D16+E16-K16</f>
        <v>-55978078</v>
      </c>
      <c r="S16" s="995">
        <f t="shared" si="9"/>
        <v>-51356034.8623853</v>
      </c>
      <c r="T16" s="995">
        <f t="shared" ref="T16:T21" si="11">K16+M16</f>
        <v>59933336</v>
      </c>
      <c r="U16" s="995">
        <f t="shared" si="10"/>
        <v>54984711.9266055</v>
      </c>
      <c r="W16" s="995" t="s">
        <v>31</v>
      </c>
    </row>
    <row r="17" hidden="1" customHeight="1" spans="1:21">
      <c r="B17" s="660" t="s">
        <v>15</v>
      </c>
      <c r="C17" s="1009">
        <f>1199666+44762184</f>
        <v>45961850</v>
      </c>
      <c r="D17" s="1009">
        <v>0</v>
      </c>
      <c r="E17" s="1009">
        <v>46414</v>
      </c>
      <c r="F17" s="1010">
        <f t="shared" si="4"/>
        <v>46008264</v>
      </c>
      <c r="G17" s="1009">
        <f t="shared" si="0"/>
        <v>3795015.13761468</v>
      </c>
      <c r="H17" s="1009">
        <f t="shared" si="1"/>
        <v>0</v>
      </c>
      <c r="I17" s="1009">
        <f t="shared" si="2"/>
        <v>3832.34862385321</v>
      </c>
      <c r="J17" s="1011">
        <f t="shared" si="5"/>
        <v>3798847.48623853</v>
      </c>
      <c r="K17" s="1009">
        <v>58491711</v>
      </c>
      <c r="L17" s="1009" t="s">
        <v>26</v>
      </c>
      <c r="M17" s="1009">
        <v>354</v>
      </c>
      <c r="N17" s="1009">
        <f t="shared" si="7"/>
        <v>29.2293577981651</v>
      </c>
      <c r="P17" s="995">
        <f>ROUND(J17+N17,2)</f>
        <v>3798876.72</v>
      </c>
      <c r="R17" s="995">
        <f>C17+E17+D17-K17</f>
        <v>-12483447</v>
      </c>
      <c r="S17" s="995">
        <f t="shared" si="9"/>
        <v>-11452703.6697248</v>
      </c>
      <c r="T17" s="995">
        <f t="shared" si="11"/>
        <v>58492065</v>
      </c>
      <c r="U17" s="995">
        <f t="shared" si="10"/>
        <v>53662444.9541284</v>
      </c>
    </row>
    <row r="18" hidden="1" customHeight="1" spans="1:21">
      <c r="B18" s="660" t="s">
        <v>16</v>
      </c>
      <c r="C18" s="1009">
        <f>1433447+2364095.27+20000</f>
        <v>3817542.27</v>
      </c>
      <c r="D18" s="1009"/>
      <c r="E18" s="1009">
        <v>417692</v>
      </c>
      <c r="F18" s="1010">
        <f t="shared" si="4"/>
        <v>4235234.27</v>
      </c>
      <c r="G18" s="1009">
        <f>ROUND(C18/1.09*0.09,2)</f>
        <v>315209.91</v>
      </c>
      <c r="H18" s="1009">
        <f t="shared" si="1"/>
        <v>0</v>
      </c>
      <c r="I18" s="1009">
        <f t="shared" si="2"/>
        <v>34488.3302752294</v>
      </c>
      <c r="J18" s="1011">
        <f t="shared" si="5"/>
        <v>349698.240275229</v>
      </c>
      <c r="K18" s="1009">
        <f>1102679+54186741</f>
        <v>55289420</v>
      </c>
      <c r="L18" s="1009" t="s">
        <v>32</v>
      </c>
      <c r="M18" s="1009">
        <v>656000</v>
      </c>
      <c r="N18" s="1009">
        <f t="shared" si="7"/>
        <v>54165.1376146789</v>
      </c>
      <c r="P18" s="1015">
        <f>J18+N18+0.01</f>
        <v>403863.387889908</v>
      </c>
      <c r="Q18" s="1015">
        <f>P18-403913.73</f>
        <v>-50.3421100917039</v>
      </c>
      <c r="R18" s="995">
        <f>C18+E18+D18-K18</f>
        <v>-51054185.73</v>
      </c>
      <c r="S18" s="1015">
        <f t="shared" si="9"/>
        <v>-46838702.5045872</v>
      </c>
      <c r="T18" s="995">
        <f t="shared" si="11"/>
        <v>55945420</v>
      </c>
      <c r="U18" s="1016">
        <f t="shared" si="10"/>
        <v>51326073.3944954</v>
      </c>
    </row>
    <row r="19" hidden="1" customHeight="1" spans="1:21">
      <c r="B19" s="660" t="s">
        <v>18</v>
      </c>
      <c r="C19" s="1009">
        <f>10000+1434885</f>
        <v>1444885</v>
      </c>
      <c r="D19" s="1009"/>
      <c r="E19" s="1009">
        <v>24611</v>
      </c>
      <c r="F19" s="1010">
        <f t="shared" si="4"/>
        <v>1469496</v>
      </c>
      <c r="G19" s="1009">
        <f>ROUND(C19/1.09*0.09,2)</f>
        <v>119302.43</v>
      </c>
      <c r="H19" s="1009">
        <f t="shared" si="1"/>
        <v>0</v>
      </c>
      <c r="I19" s="1009">
        <f t="shared" si="2"/>
        <v>2032.10091743119</v>
      </c>
      <c r="J19" s="1011">
        <f t="shared" si="5"/>
        <v>121334.530917431</v>
      </c>
      <c r="K19" s="1009">
        <v>52696250</v>
      </c>
      <c r="L19" s="1009" t="s">
        <v>33</v>
      </c>
      <c r="M19" s="1009">
        <f>1503005+3472444</f>
        <v>4975449</v>
      </c>
      <c r="N19" s="1009">
        <f t="shared" si="7"/>
        <v>410816.889908257</v>
      </c>
      <c r="P19" s="1015">
        <f>J19+N19</f>
        <v>532151.420825688</v>
      </c>
      <c r="Q19" s="1015"/>
      <c r="R19" s="995">
        <f>C19+E19+D19-K19+4975449</f>
        <v>-46251305</v>
      </c>
      <c r="S19" s="1015">
        <f t="shared" si="9"/>
        <v>-42432389.9082569</v>
      </c>
      <c r="T19" s="995">
        <f t="shared" si="11"/>
        <v>57671699</v>
      </c>
      <c r="U19" s="1016">
        <f t="shared" si="10"/>
        <v>52909815.5963303</v>
      </c>
    </row>
    <row r="20" customHeight="1" spans="1:21">
      <c r="B20" s="660" t="s">
        <v>19</v>
      </c>
      <c r="C20" s="1009">
        <v>200000</v>
      </c>
      <c r="D20" s="1009">
        <v>10000</v>
      </c>
      <c r="E20" s="1009">
        <f>30000-25366</f>
        <v>4634</v>
      </c>
      <c r="F20" s="1010">
        <f t="shared" si="4"/>
        <v>214634</v>
      </c>
      <c r="G20" s="1009">
        <f>ROUND(C20/1.09*0.09,2)</f>
        <v>16513.76</v>
      </c>
      <c r="H20" s="1009">
        <f t="shared" si="1"/>
        <v>825.688073394495</v>
      </c>
      <c r="I20" s="1009">
        <f t="shared" si="2"/>
        <v>382.623853211009</v>
      </c>
      <c r="J20" s="1011">
        <f t="shared" si="5"/>
        <v>17722.0719266055</v>
      </c>
      <c r="K20" s="1009">
        <f>1481666+1494885</f>
        <v>2976551</v>
      </c>
      <c r="L20" s="1009" t="s">
        <v>26</v>
      </c>
      <c r="M20" s="1009">
        <v>1498276</v>
      </c>
      <c r="N20" s="1009">
        <f t="shared" si="7"/>
        <v>123710.862385321</v>
      </c>
      <c r="P20" s="1015">
        <f>J20+N20</f>
        <v>141432.934311927</v>
      </c>
      <c r="Q20" s="1015"/>
      <c r="R20" s="995">
        <f>C20+E20+D20-K20</f>
        <v>-2761917</v>
      </c>
      <c r="S20" s="1015">
        <f t="shared" si="9"/>
        <v>-2533868.80733945</v>
      </c>
      <c r="T20" s="995">
        <f t="shared" si="11"/>
        <v>4474827</v>
      </c>
      <c r="U20" s="1016">
        <f t="shared" si="10"/>
        <v>4105345.87155963</v>
      </c>
    </row>
    <row r="21" customHeight="1" spans="1:21">
      <c r="B21" s="660" t="s">
        <v>20</v>
      </c>
      <c r="C21" s="1009">
        <f>857000+10000+509104.73</f>
        <v>1376104.73</v>
      </c>
      <c r="D21" s="1009">
        <f>439720-136000-38324</f>
        <v>265396</v>
      </c>
      <c r="E21" s="1009">
        <v>0</v>
      </c>
      <c r="F21" s="1010">
        <f t="shared" si="4"/>
        <v>1641500.73</v>
      </c>
      <c r="G21" s="1009">
        <f>ROUND(C21/1.09*0.09,2)</f>
        <v>113623.33</v>
      </c>
      <c r="H21" s="1009">
        <f>ROUND(D21/1.09*0.09,2)-0.01</f>
        <v>21913.42</v>
      </c>
      <c r="I21" s="1009">
        <f t="shared" si="2"/>
        <v>0</v>
      </c>
      <c r="J21" s="1011">
        <f t="shared" si="5"/>
        <v>135536.75</v>
      </c>
      <c r="K21" s="1009">
        <f>789076+1013725</f>
        <v>1802801</v>
      </c>
      <c r="L21" s="1009" t="s">
        <v>34</v>
      </c>
      <c r="M21" s="1009">
        <v>1042863</v>
      </c>
      <c r="N21" s="1009">
        <f t="shared" si="7"/>
        <v>86107.9541284404</v>
      </c>
      <c r="P21" s="1015">
        <f>J21+N21</f>
        <v>221644.70412844</v>
      </c>
      <c r="Q21" s="1015"/>
      <c r="R21" s="995">
        <f>C21+E21+D21-K21</f>
        <v>-161300.27</v>
      </c>
      <c r="S21" s="1015">
        <f t="shared" si="9"/>
        <v>-147981.899082569</v>
      </c>
      <c r="T21" s="995">
        <f t="shared" si="11"/>
        <v>2845664</v>
      </c>
      <c r="U21" s="1015">
        <f t="shared" si="10"/>
        <v>2610700.91743119</v>
      </c>
    </row>
    <row r="22" customHeight="1" spans="1:21">
      <c r="B22" s="660"/>
      <c r="C22" s="1009"/>
      <c r="D22" s="1009"/>
      <c r="E22" s="1009"/>
      <c r="F22" s="1010">
        <f t="shared" si="4"/>
        <v>0</v>
      </c>
      <c r="G22" s="1009"/>
      <c r="H22" s="1009"/>
      <c r="I22" s="1009"/>
      <c r="J22" s="1011">
        <f t="shared" si="5"/>
        <v>0</v>
      </c>
      <c r="K22" s="1009"/>
      <c r="L22" s="1009"/>
      <c r="M22" s="1009"/>
      <c r="N22" s="1009"/>
      <c r="P22" s="1015"/>
      <c r="Q22" s="1015"/>
      <c r="S22" s="1015"/>
      <c r="U22" s="1015"/>
    </row>
    <row r="23" customHeight="1" spans="1:21">
      <c r="A23" s="995" t="s">
        <v>35</v>
      </c>
      <c r="B23" s="660" t="s">
        <v>22</v>
      </c>
      <c r="C23" s="1009">
        <f>3096460+200000</f>
        <v>3296460</v>
      </c>
      <c r="D23" s="1009">
        <f>56034-3889</f>
        <v>52145</v>
      </c>
      <c r="E23" s="1009">
        <v>0</v>
      </c>
      <c r="F23" s="1010">
        <f t="shared" si="4"/>
        <v>3348605</v>
      </c>
      <c r="G23" s="1009">
        <f>ROUND(C23/1.09*0.09,2)</f>
        <v>272184.77</v>
      </c>
      <c r="H23" s="1009">
        <f>ROUND(D23/1.09*0.09,2)-0.01</f>
        <v>4305.54</v>
      </c>
      <c r="I23" s="1009">
        <f>E23/1.09*0.09</f>
        <v>0</v>
      </c>
      <c r="J23" s="1011">
        <f t="shared" si="5"/>
        <v>276490.31</v>
      </c>
      <c r="K23" s="1009">
        <f>10000+309104.73+755598+275895.27</f>
        <v>1350598</v>
      </c>
      <c r="L23" s="1009"/>
      <c r="M23" s="1009">
        <f>450000+600000-10000</f>
        <v>1040000</v>
      </c>
      <c r="N23" s="1009">
        <f>M23/1.09*0.09</f>
        <v>85871.5596330275</v>
      </c>
      <c r="P23" s="1015">
        <f>J23+N23</f>
        <v>362361.869633027</v>
      </c>
      <c r="Q23" s="1015"/>
      <c r="R23" s="995">
        <f>C23+E23+D23-K23</f>
        <v>1998007</v>
      </c>
      <c r="S23" s="1015">
        <f>R23/1.09</f>
        <v>1833033.94495413</v>
      </c>
      <c r="T23" s="995">
        <f>E23+G23+F23-M23+10000</f>
        <v>2590789.77</v>
      </c>
      <c r="U23" s="995">
        <f>F23+H23+G23-N23+10000</f>
        <v>3549223.75036697</v>
      </c>
    </row>
    <row r="24" customHeight="1" spans="1:21">
      <c r="B24" s="660" t="s">
        <v>23</v>
      </c>
      <c r="C24" s="1009">
        <v>214233</v>
      </c>
      <c r="D24" s="1009">
        <v>139004.78</v>
      </c>
      <c r="E24" s="1009"/>
      <c r="F24" s="1010">
        <f t="shared" si="4"/>
        <v>353237.78</v>
      </c>
      <c r="G24" s="1009">
        <f>ROUND(C24/1.09*0.09,2)+0.01</f>
        <v>17688.97</v>
      </c>
      <c r="H24" s="1009">
        <f>ROUND(D24/1.09*0.09,2)</f>
        <v>11477.46</v>
      </c>
      <c r="I24" s="1009"/>
      <c r="J24" s="1011">
        <f t="shared" si="5"/>
        <v>29166.43</v>
      </c>
      <c r="K24" s="1009">
        <v>825573</v>
      </c>
      <c r="L24" s="1009" t="s">
        <v>17</v>
      </c>
      <c r="M24" s="1009">
        <f>863919-81960</f>
        <v>781959</v>
      </c>
      <c r="N24" s="1009">
        <f>M24/1.09*0.09</f>
        <v>64565.4220183486</v>
      </c>
      <c r="P24" s="1015">
        <f>J24+N24</f>
        <v>93731.8520183486</v>
      </c>
      <c r="Q24" s="1015"/>
      <c r="R24" s="995">
        <f>C24+E24+D24-K24</f>
        <v>-472335.22</v>
      </c>
      <c r="S24" s="1015">
        <f>R24/1.09</f>
        <v>-433335.064220183</v>
      </c>
      <c r="T24" s="995">
        <f>E24+G24+F24-M24+10000</f>
        <v>-401032.25</v>
      </c>
      <c r="U24" s="995">
        <f>F24+H24+G24-N24+10000</f>
        <v>327838.787981651</v>
      </c>
    </row>
    <row r="25" customHeight="1" spans="1:21">
      <c r="B25" s="660" t="s">
        <v>24</v>
      </c>
      <c r="C25" s="1009">
        <v>220000</v>
      </c>
      <c r="D25" s="1009">
        <v>0</v>
      </c>
      <c r="E25" s="1009">
        <v>0</v>
      </c>
      <c r="F25" s="1010">
        <f t="shared" si="4"/>
        <v>220000</v>
      </c>
      <c r="G25" s="1009">
        <f>ROUND(C25/1.09*0.09,2)</f>
        <v>18165.14</v>
      </c>
      <c r="H25" s="1009">
        <f>ROUND(D25/1.09*0.09,2)</f>
        <v>0</v>
      </c>
      <c r="I25" s="1009"/>
      <c r="J25" s="1011">
        <f t="shared" si="5"/>
        <v>18165.14</v>
      </c>
      <c r="K25" s="1009">
        <v>97000</v>
      </c>
      <c r="L25" s="1009"/>
      <c r="M25" s="1009">
        <f>646000-97000+530000</f>
        <v>1079000</v>
      </c>
      <c r="N25" s="1009">
        <f>M25/1.09*0.09</f>
        <v>89091.743119266</v>
      </c>
      <c r="P25" s="1015">
        <f>J25+N25</f>
        <v>107256.883119266</v>
      </c>
      <c r="Q25" s="1015"/>
      <c r="R25" s="995">
        <f>C25+E25+D25-K25</f>
        <v>123000</v>
      </c>
      <c r="S25" s="1015">
        <f>R25/1.09</f>
        <v>112844.036697248</v>
      </c>
      <c r="T25" s="995">
        <f>E25+G25+F25-M25+10000</f>
        <v>-830834.86</v>
      </c>
      <c r="U25" s="995">
        <f>F25+H25+G25-N25+10000</f>
        <v>159073.396880734</v>
      </c>
    </row>
    <row r="26" customHeight="1" spans="1:21">
      <c r="B26" s="660"/>
      <c r="C26" s="1009"/>
      <c r="D26" s="1009"/>
      <c r="E26" s="1009"/>
      <c r="F26" s="1010"/>
      <c r="G26" s="1009"/>
      <c r="H26" s="1009"/>
      <c r="I26" s="1009"/>
      <c r="J26" s="1011"/>
      <c r="K26" s="1009"/>
      <c r="L26" s="1009"/>
      <c r="M26" s="1009"/>
      <c r="N26" s="660"/>
      <c r="P26" s="995">
        <f>J26+N26</f>
        <v>0</v>
      </c>
    </row>
    <row r="27" customHeight="1" spans="1:21">
      <c r="B27" s="660" t="s">
        <v>10</v>
      </c>
      <c r="C27" s="1017">
        <f>SUM(C4:C26)</f>
        <v>586627344</v>
      </c>
      <c r="D27" s="1017">
        <f>SUM(D4:D26)</f>
        <v>2116213.28</v>
      </c>
      <c r="E27" s="1017">
        <f t="shared" ref="C27:K27" si="12">SUM(E4:E26)</f>
        <v>3006705</v>
      </c>
      <c r="F27" s="1010">
        <f t="shared" si="12"/>
        <v>591750262.28</v>
      </c>
      <c r="G27" s="1009">
        <f t="shared" si="12"/>
        <v>48437120.1540367</v>
      </c>
      <c r="H27" s="1009">
        <f t="shared" si="12"/>
        <v>174733.186055046</v>
      </c>
      <c r="I27" s="1009">
        <f t="shared" si="12"/>
        <v>248260.04587156</v>
      </c>
      <c r="J27" s="1011">
        <f t="shared" si="12"/>
        <v>48860113.3859633</v>
      </c>
      <c r="K27" s="1009">
        <f t="shared" si="12"/>
        <v>576823805</v>
      </c>
      <c r="L27" s="1018">
        <f>C27-K27</f>
        <v>9803539</v>
      </c>
      <c r="M27" s="1009">
        <f>SUM(M4:M26)</f>
        <v>38355029</v>
      </c>
      <c r="N27" s="1009">
        <f>SUM(N4:N26)</f>
        <v>3166929</v>
      </c>
      <c r="P27" s="995">
        <f>SUM(P4:P26)</f>
        <v>52024701.3269724</v>
      </c>
    </row>
    <row r="28" customHeight="1" spans="1:21">
      <c r="B28" s="995" t="s">
        <v>36</v>
      </c>
      <c r="C28" s="996">
        <f>C27/1.09</f>
        <v>538190223.853211</v>
      </c>
      <c r="D28" s="996">
        <f>D27/1.09</f>
        <v>1941480.0733945</v>
      </c>
      <c r="E28" s="996">
        <f>E27/1.09</f>
        <v>2758444.95412844</v>
      </c>
      <c r="M28" s="996">
        <f>M27/1.09</f>
        <v>35188100</v>
      </c>
    </row>
    <row r="31" customHeight="1" spans="1:21">
      <c r="B31" s="995">
        <v>8</v>
      </c>
      <c r="C31" s="1009">
        <v>256372524.770642</v>
      </c>
      <c r="D31" s="996">
        <f>C31*0.09</f>
        <v>23073527.2293578</v>
      </c>
      <c r="F31" s="996">
        <v>576058119</v>
      </c>
      <c r="G31" s="996">
        <v>461785612</v>
      </c>
      <c r="H31" s="996">
        <f>F31+D27+E27-E18</f>
        <v>580763345.28</v>
      </c>
    </row>
    <row r="32" customHeight="1" spans="1:21">
      <c r="B32" s="995">
        <v>9</v>
      </c>
      <c r="C32" s="996">
        <v>-17566066.97</v>
      </c>
      <c r="D32" s="996">
        <f>C32*0.09</f>
        <v>-1580946.0273</v>
      </c>
      <c r="H32" s="996">
        <f>H31-G31</f>
        <v>118977733.28</v>
      </c>
    </row>
    <row r="33" customHeight="1" spans="1:17">
      <c r="B33" s="995">
        <v>10</v>
      </c>
      <c r="C33" s="996">
        <v>-14657783.49</v>
      </c>
      <c r="D33" s="996">
        <f t="shared" ref="D33:D43" si="13">C33*0.09</f>
        <v>-1319200.5141</v>
      </c>
      <c r="H33" s="996">
        <f>H32/1.09</f>
        <v>109153883.743119</v>
      </c>
    </row>
    <row r="34" customHeight="1" spans="1:17">
      <c r="A34" s="1019"/>
      <c r="B34" s="995">
        <v>11</v>
      </c>
      <c r="C34" s="996">
        <v>-45731883.49</v>
      </c>
      <c r="D34" s="996">
        <f t="shared" si="13"/>
        <v>-4115869.5141</v>
      </c>
    </row>
    <row r="35" customHeight="1" spans="1:17">
      <c r="A35" s="1020"/>
      <c r="B35" s="995">
        <v>12</v>
      </c>
      <c r="C35" s="996">
        <v>-43163054.13</v>
      </c>
      <c r="D35" s="996">
        <f t="shared" si="13"/>
        <v>-3884674.8717</v>
      </c>
    </row>
    <row r="36" customHeight="1" spans="1:17">
      <c r="A36" s="1020"/>
      <c r="B36" s="995">
        <v>1</v>
      </c>
      <c r="C36" s="996">
        <v>-9483573.39</v>
      </c>
      <c r="D36" s="996">
        <f t="shared" si="13"/>
        <v>-853521.6051</v>
      </c>
      <c r="J36" s="1021"/>
    </row>
    <row r="37" customHeight="1" spans="1:17">
      <c r="A37" s="1020"/>
      <c r="B37" s="980">
        <v>2</v>
      </c>
      <c r="C37" s="996">
        <v>-21896176.6</v>
      </c>
      <c r="D37" s="996">
        <f t="shared" si="13"/>
        <v>-1970655.894</v>
      </c>
    </row>
    <row r="38" customHeight="1" spans="1:17">
      <c r="A38" s="1020"/>
      <c r="B38" s="980">
        <v>3</v>
      </c>
      <c r="C38" s="996">
        <v>-43108370.65</v>
      </c>
      <c r="D38" s="996">
        <f t="shared" si="13"/>
        <v>-3879753.3585</v>
      </c>
    </row>
    <row r="39" customHeight="1" spans="1:17">
      <c r="A39" s="1020"/>
      <c r="B39" s="980">
        <v>4</v>
      </c>
      <c r="C39" s="996">
        <v>146871755.96</v>
      </c>
      <c r="D39" s="996">
        <f t="shared" si="13"/>
        <v>13218458.0364</v>
      </c>
      <c r="N39" s="996"/>
    </row>
    <row r="40" customHeight="1" spans="1:17">
      <c r="B40" s="995">
        <v>5</v>
      </c>
      <c r="C40" s="996">
        <v>4226421.1</v>
      </c>
      <c r="D40" s="996">
        <f t="shared" si="13"/>
        <v>380377.899</v>
      </c>
      <c r="N40" s="996"/>
    </row>
    <row r="41" customHeight="1" spans="1:17">
      <c r="B41" s="995">
        <v>6</v>
      </c>
      <c r="C41" s="996">
        <v>-40881509.17</v>
      </c>
      <c r="D41" s="996">
        <f t="shared" si="13"/>
        <v>-3679335.8253</v>
      </c>
    </row>
    <row r="42" customHeight="1" spans="1:17">
      <c r="B42" s="995">
        <v>7</v>
      </c>
      <c r="C42" s="996">
        <v>-51356034.86</v>
      </c>
      <c r="D42" s="996">
        <f t="shared" si="13"/>
        <v>-4622043.1374</v>
      </c>
      <c r="J42" s="993"/>
      <c r="K42" s="116"/>
      <c r="L42" s="116"/>
      <c r="M42" s="116"/>
      <c r="N42" s="116"/>
      <c r="O42" s="1022"/>
      <c r="P42" s="1022"/>
      <c r="Q42" s="1023"/>
    </row>
    <row r="43" customHeight="1" spans="1:17">
      <c r="B43" s="995">
        <v>8</v>
      </c>
      <c r="C43" s="996">
        <v>-11452703.67</v>
      </c>
      <c r="D43" s="996">
        <f t="shared" si="13"/>
        <v>-1030743.3303</v>
      </c>
      <c r="J43" s="994"/>
      <c r="K43" s="116"/>
      <c r="L43" s="116"/>
      <c r="M43" s="116"/>
      <c r="N43" s="116"/>
      <c r="P43" s="996"/>
      <c r="Q43" s="1024"/>
    </row>
    <row r="44" customHeight="1" spans="1:17">
      <c r="C44" s="996">
        <f>SUM(C31:C43)</f>
        <v>108173545.410642</v>
      </c>
      <c r="J44" s="995"/>
      <c r="K44" s="1025"/>
      <c r="L44" s="1025"/>
      <c r="M44" s="1025"/>
      <c r="N44" s="1025"/>
      <c r="O44" s="996"/>
      <c r="P44" s="996"/>
      <c r="Q44" s="996"/>
    </row>
  </sheetData>
  <mergeCells count="6">
    <mergeCell ref="B1:N1"/>
    <mergeCell ref="C2:F2"/>
    <mergeCell ref="G2:J2"/>
    <mergeCell ref="M2:N2"/>
    <mergeCell ref="K42:N42"/>
    <mergeCell ref="K43:N43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147"/>
  <sheetViews>
    <sheetView tabSelected="1" zoomScale="80" zoomScaleNormal="80" topLeftCell="D1" workbookViewId="0">
      <pane ySplit="3" topLeftCell="A54" activePane="bottomLeft" state="frozen"/>
      <selection/>
      <selection pane="bottomLeft" activeCell="L77" sqref="L77"/>
    </sheetView>
  </sheetViews>
  <sheetFormatPr defaultColWidth="9" defaultRowHeight="31.5" customHeight="1"/>
  <cols>
    <col min="1" max="1" width="5.13333333333333" customWidth="1"/>
    <col min="2" max="2" width="16.3916666666667" customWidth="1"/>
    <col min="3" max="3" width="10.9083333333333" customWidth="1"/>
    <col min="4" max="4" width="14.1" customWidth="1"/>
    <col min="5" max="5" width="15.5333333333333" customWidth="1"/>
    <col min="6" max="6" width="18.2083333333333" customWidth="1"/>
    <col min="7" max="7" width="15.35" customWidth="1"/>
    <col min="8" max="8" width="12.85" customWidth="1"/>
    <col min="9" max="9" width="10.7083333333333" customWidth="1"/>
    <col min="10" max="10" width="18.5583333333333" customWidth="1"/>
    <col min="11" max="11" width="19.8083333333333" customWidth="1"/>
    <col min="12" max="12" width="13.9" customWidth="1"/>
    <col min="13" max="13" width="18.7416666666667" customWidth="1"/>
    <col min="14" max="14" width="17.3166666666667" customWidth="1"/>
    <col min="15" max="15" width="23.9583333333333" style="626" customWidth="1"/>
    <col min="16" max="16" width="11.7166666666667" customWidth="1"/>
    <col min="17" max="17" width="9.85" customWidth="1"/>
    <col min="18" max="18" width="13.9" customWidth="1"/>
    <col min="19" max="19" width="19.05" customWidth="1"/>
    <col min="20" max="20" width="12.4916666666667" customWidth="1"/>
    <col min="21" max="21" width="18.0333333333333" customWidth="1"/>
    <col min="22" max="22" width="12.1416666666667" customWidth="1"/>
    <col min="23" max="23" width="7.35833333333333" customWidth="1"/>
    <col min="24" max="24" width="13.225" customWidth="1"/>
    <col min="25" max="25" width="12.875" style="17" customWidth="1"/>
    <col min="26" max="26" width="10.1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47">
      <c r="A1" s="627" t="s">
        <v>37</v>
      </c>
      <c r="B1" s="628"/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629"/>
      <c r="P1" s="628"/>
      <c r="Q1" s="628"/>
      <c r="R1" s="628"/>
      <c r="S1" s="628"/>
      <c r="T1" s="628"/>
      <c r="U1" s="628"/>
      <c r="V1" s="628"/>
      <c r="W1" s="628"/>
      <c r="X1" s="628"/>
    </row>
    <row r="2" ht="24" customHeight="1" spans="1:47">
      <c r="A2" s="630" t="s">
        <v>38</v>
      </c>
      <c r="B2" s="631" t="s">
        <v>39</v>
      </c>
      <c r="C2" s="632" t="s">
        <v>40</v>
      </c>
      <c r="D2" s="633" t="s">
        <v>41</v>
      </c>
      <c r="E2" s="634" t="s">
        <v>42</v>
      </c>
      <c r="F2" s="635"/>
      <c r="G2" s="636"/>
      <c r="H2" s="637"/>
      <c r="I2" s="637"/>
      <c r="J2" s="638" t="s">
        <v>43</v>
      </c>
      <c r="K2" s="638" t="s">
        <v>44</v>
      </c>
      <c r="L2" s="639" t="s">
        <v>45</v>
      </c>
      <c r="M2" s="640"/>
      <c r="N2" s="640"/>
      <c r="O2" s="641"/>
      <c r="P2" s="640"/>
      <c r="Q2" s="640"/>
      <c r="R2" s="640"/>
      <c r="S2" s="642"/>
      <c r="T2" s="643" t="s">
        <v>46</v>
      </c>
      <c r="U2" s="643"/>
      <c r="V2" s="643"/>
      <c r="W2" s="644" t="s">
        <v>47</v>
      </c>
    </row>
    <row r="3" s="620" customFormat="1" ht="33" customHeight="1" spans="1:47">
      <c r="A3" s="645"/>
      <c r="B3" s="646"/>
      <c r="C3" s="647" t="s">
        <v>48</v>
      </c>
      <c r="D3" s="647" t="s">
        <v>48</v>
      </c>
      <c r="E3" s="648" t="s">
        <v>49</v>
      </c>
      <c r="F3" s="649" t="s">
        <v>50</v>
      </c>
      <c r="G3" s="650" t="s">
        <v>51</v>
      </c>
      <c r="H3" s="651" t="s">
        <v>52</v>
      </c>
      <c r="I3" s="651"/>
      <c r="J3" s="651"/>
      <c r="K3" s="651"/>
      <c r="L3" s="652" t="s">
        <v>49</v>
      </c>
      <c r="M3" s="653" t="s">
        <v>53</v>
      </c>
      <c r="N3" s="653" t="s">
        <v>54</v>
      </c>
      <c r="O3" s="654" t="s">
        <v>55</v>
      </c>
      <c r="P3" s="655" t="s">
        <v>56</v>
      </c>
      <c r="Q3" s="656" t="s">
        <v>57</v>
      </c>
      <c r="R3" s="657" t="s">
        <v>58</v>
      </c>
      <c r="S3" s="658" t="s">
        <v>59</v>
      </c>
      <c r="T3" s="659" t="s">
        <v>48</v>
      </c>
      <c r="U3" s="650" t="s">
        <v>60</v>
      </c>
      <c r="V3" s="660" t="s">
        <v>61</v>
      </c>
      <c r="W3" s="661"/>
      <c r="Y3" s="662"/>
      <c r="Z3" s="662"/>
      <c r="AA3" s="662"/>
      <c r="AB3" s="663"/>
      <c r="AC3" s="663"/>
      <c r="AD3" s="663"/>
      <c r="AE3" s="662"/>
      <c r="AF3" s="664"/>
      <c r="AG3" s="664"/>
      <c r="AH3" s="664"/>
      <c r="AI3" s="664"/>
      <c r="AJ3" s="664"/>
      <c r="AK3" s="665"/>
      <c r="AL3" s="664"/>
      <c r="AM3" s="664"/>
      <c r="AN3" s="664"/>
      <c r="AO3" s="664"/>
      <c r="AP3" s="664"/>
      <c r="AQ3" s="664"/>
      <c r="AR3" s="664"/>
      <c r="AS3" s="664"/>
      <c r="AT3" s="664"/>
      <c r="AU3" s="664"/>
    </row>
    <row r="4" s="196" customFormat="1" ht="36" customHeight="1" spans="1:47">
      <c r="A4" s="666">
        <v>1</v>
      </c>
      <c r="B4" s="667" t="s">
        <v>62</v>
      </c>
      <c r="C4" s="668">
        <f>'画堂春锦13#14#15#17#18# 商铺'!A148</f>
        <v>141</v>
      </c>
      <c r="D4" s="668">
        <f t="shared" ref="D4:D9" si="0">C4</f>
        <v>141</v>
      </c>
      <c r="E4" s="669">
        <f>'画堂春锦13#14#15#17#18# 商铺'!B151</f>
        <v>0</v>
      </c>
      <c r="F4" s="670"/>
      <c r="G4" s="671">
        <f>'画堂春锦13#14#15#17#18# 商铺'!T151</f>
        <v>0</v>
      </c>
      <c r="H4" s="671"/>
      <c r="I4" s="671"/>
      <c r="J4" s="672">
        <f>'画堂春锦13#14#15#17#18# 商铺'!K151</f>
        <v>15319.5</v>
      </c>
      <c r="K4" s="672">
        <f>J4-524.4-152.79-15.25-16.01</f>
        <v>14611.05</v>
      </c>
      <c r="L4" s="673">
        <f>121+4+3+4+1+1+1+1</f>
        <v>136</v>
      </c>
      <c r="M4" s="672">
        <f>'画堂春锦13#14#15#17#18# 商铺'!N151</f>
        <v>179684584</v>
      </c>
      <c r="N4" s="672">
        <f>'画堂春锦13#14#15#17#18# 商铺'!L151</f>
        <v>12409.42</v>
      </c>
      <c r="O4" s="672">
        <f>'画堂春锦13#14#15#17#18# 商铺'!AL151</f>
        <v>172437673</v>
      </c>
      <c r="P4" s="674">
        <f>'画堂春锦13#14#15#17#18# 商铺'!AM151</f>
        <v>0</v>
      </c>
      <c r="Q4" s="671">
        <f>'画堂春锦13#14#15#17#18# 商铺'!AN151</f>
        <v>0</v>
      </c>
      <c r="R4" s="675">
        <f t="shared" ref="R4:R9" si="1">O4+Q4</f>
        <v>172437673</v>
      </c>
      <c r="S4" s="672">
        <f>M4-R4</f>
        <v>7246911</v>
      </c>
      <c r="T4" s="676">
        <f t="shared" ref="T4:T9" si="2">D4-L4</f>
        <v>5</v>
      </c>
      <c r="U4" s="677">
        <f t="shared" ref="U4:U9" si="3">K4-N4</f>
        <v>2201.62999999998</v>
      </c>
      <c r="V4" s="678"/>
      <c r="W4" s="679"/>
      <c r="Y4" s="662"/>
      <c r="Z4" s="663"/>
      <c r="AA4" s="680"/>
      <c r="AB4" s="681"/>
      <c r="AC4" s="681"/>
      <c r="AD4" s="682"/>
      <c r="AE4" s="682"/>
      <c r="AF4" s="682"/>
      <c r="AG4" s="681"/>
      <c r="AH4" s="488"/>
      <c r="AI4" s="488"/>
      <c r="AJ4" s="488"/>
      <c r="AK4" s="101"/>
      <c r="AL4" s="488"/>
      <c r="AM4" s="488"/>
      <c r="AN4" s="488"/>
      <c r="AO4" s="488"/>
      <c r="AP4" s="488"/>
      <c r="AQ4" s="488"/>
      <c r="AR4" s="488"/>
      <c r="AS4" s="488"/>
      <c r="AT4" s="488"/>
      <c r="AU4" s="488"/>
    </row>
    <row r="5" s="196" customFormat="1" ht="36" customHeight="1" spans="1:47">
      <c r="A5" s="683">
        <v>2</v>
      </c>
      <c r="B5" s="684" t="s">
        <v>63</v>
      </c>
      <c r="C5" s="668">
        <f>'画堂春锦9#10#11#12#住宅'!A332</f>
        <v>242</v>
      </c>
      <c r="D5" s="668">
        <f t="shared" si="0"/>
        <v>242</v>
      </c>
      <c r="E5" s="669">
        <f>'画堂春锦9#10#11#12#住宅'!B333</f>
        <v>0</v>
      </c>
      <c r="F5" s="670"/>
      <c r="G5" s="671">
        <f>'画堂春锦9#10#11#12#住宅'!R333</f>
        <v>231980</v>
      </c>
      <c r="H5" s="671"/>
      <c r="I5" s="671"/>
      <c r="J5" s="672">
        <f>'画堂春锦9#10#11#12#住宅'!J333</f>
        <v>31331.37</v>
      </c>
      <c r="K5" s="672">
        <f>J5-4.49-22.24-19.83-4.39-548.24-753.94-625.87-615.6</f>
        <v>28736.77</v>
      </c>
      <c r="L5" s="685">
        <f>234</f>
        <v>234</v>
      </c>
      <c r="M5" s="672">
        <f>'画堂春锦9#10#11#12#住宅'!M333</f>
        <v>162458475</v>
      </c>
      <c r="N5" s="672">
        <f>'画堂春锦9#10#11#12#住宅'!K333</f>
        <v>27820.26</v>
      </c>
      <c r="O5" s="672">
        <f>'画堂春锦9#10#11#12#住宅'!AH333</f>
        <v>162098812</v>
      </c>
      <c r="P5" s="674">
        <f>'画堂春锦9#10#11#12#住宅'!AI333</f>
        <v>0</v>
      </c>
      <c r="Q5" s="671">
        <f>'画堂春锦9#10#11#12#住宅'!AJ333</f>
        <v>0</v>
      </c>
      <c r="R5" s="675">
        <f t="shared" si="1"/>
        <v>162098812</v>
      </c>
      <c r="S5" s="672">
        <f>M5-R5</f>
        <v>359663</v>
      </c>
      <c r="T5" s="676">
        <f t="shared" si="2"/>
        <v>8</v>
      </c>
      <c r="U5" s="677">
        <f t="shared" si="3"/>
        <v>916.510000000038</v>
      </c>
      <c r="V5" s="678"/>
      <c r="W5" s="686"/>
      <c r="Y5" s="662"/>
      <c r="Z5" s="663"/>
      <c r="AA5" s="687"/>
      <c r="AB5" s="681"/>
      <c r="AC5" s="682"/>
      <c r="AD5" s="681"/>
      <c r="AE5" s="688"/>
      <c r="AF5" s="689"/>
      <c r="AG5" s="681"/>
      <c r="AH5" s="663"/>
      <c r="AI5" s="663"/>
      <c r="AJ5" s="662"/>
      <c r="AK5" s="101"/>
      <c r="AL5" s="488"/>
      <c r="AM5" s="488"/>
      <c r="AN5" s="488"/>
      <c r="AO5" s="488"/>
      <c r="AP5" s="488"/>
      <c r="AQ5" s="488"/>
      <c r="AR5" s="488"/>
      <c r="AS5" s="488"/>
      <c r="AT5" s="488"/>
      <c r="AU5" s="488"/>
    </row>
    <row r="6" s="196" customFormat="1" ht="35" customHeight="1" spans="1:47">
      <c r="A6" s="683">
        <v>3</v>
      </c>
      <c r="B6" s="684" t="s">
        <v>64</v>
      </c>
      <c r="C6" s="668">
        <f>'画堂春锦苑1#2#3#5#7#楼住宅销售明细表'!A441</f>
        <v>362</v>
      </c>
      <c r="D6" s="668">
        <f t="shared" si="0"/>
        <v>362</v>
      </c>
      <c r="E6" s="669">
        <f>'画堂春锦苑1#2#3#5#7#楼住宅销售明细表'!B442</f>
        <v>0</v>
      </c>
      <c r="F6" s="670"/>
      <c r="G6" s="671">
        <f>'画堂春锦苑1#2#3#5#7#楼住宅销售明细表'!R442</f>
        <v>1210000</v>
      </c>
      <c r="H6" s="671"/>
      <c r="I6" s="671"/>
      <c r="J6" s="672">
        <f>'画堂春锦苑1#2#3#5#7#楼住宅销售明细表'!J442</f>
        <v>48346.4099999999</v>
      </c>
      <c r="K6" s="672">
        <f>J6-677.13-970.65-60.09-726.3-560.48-557.5-157.69</f>
        <v>44636.5699999999</v>
      </c>
      <c r="L6" s="685">
        <f>256+9+10+6+9+5+4+6+3+22</f>
        <v>330</v>
      </c>
      <c r="M6" s="672">
        <f>'画堂春锦苑1#2#3#5#7#楼住宅销售明细表'!M442</f>
        <v>239411329</v>
      </c>
      <c r="N6" s="672">
        <f>'画堂春锦苑1#2#3#5#7#楼住宅销售明细表'!K442</f>
        <v>41277.07</v>
      </c>
      <c r="O6" s="672">
        <f>'画堂春锦苑1#2#3#5#7#楼住宅销售明细表'!AH442</f>
        <v>237664008</v>
      </c>
      <c r="P6" s="674">
        <f>'画堂春锦9#10#11#12#住宅'!AI337</f>
        <v>0</v>
      </c>
      <c r="Q6" s="671">
        <f>'画堂春锦苑1#2#3#5#7#楼住宅销售明细表'!AJ442</f>
        <v>0</v>
      </c>
      <c r="R6" s="675">
        <f t="shared" si="1"/>
        <v>237664008</v>
      </c>
      <c r="S6" s="672">
        <f>M6-R6</f>
        <v>1747321</v>
      </c>
      <c r="T6" s="676">
        <f t="shared" si="2"/>
        <v>32</v>
      </c>
      <c r="U6" s="677">
        <f t="shared" si="3"/>
        <v>3359.49999999993</v>
      </c>
      <c r="V6" s="678"/>
      <c r="W6" s="686"/>
      <c r="Y6" s="662"/>
      <c r="Z6" s="663"/>
      <c r="AA6" s="687"/>
      <c r="AB6" s="681"/>
      <c r="AC6" s="488"/>
      <c r="AD6" s="662"/>
      <c r="AE6" s="663"/>
      <c r="AF6" s="663"/>
      <c r="AG6" s="662"/>
      <c r="AH6" s="690"/>
      <c r="AI6" s="691"/>
      <c r="AJ6" s="662"/>
      <c r="AK6" s="101"/>
      <c r="AL6" s="488"/>
      <c r="AM6" s="488"/>
      <c r="AN6" s="488"/>
      <c r="AO6" s="488"/>
      <c r="AP6" s="488"/>
      <c r="AQ6" s="488"/>
      <c r="AR6" s="488"/>
      <c r="AS6" s="488"/>
      <c r="AT6" s="488"/>
      <c r="AU6" s="488"/>
    </row>
    <row r="7" s="196" customFormat="1" ht="35" customHeight="1" spans="1:47">
      <c r="A7" s="683">
        <v>4</v>
      </c>
      <c r="B7" s="692" t="s">
        <v>65</v>
      </c>
      <c r="C7" s="668">
        <f>'画堂春锦苑8#楼明细表'!A89</f>
        <v>66</v>
      </c>
      <c r="D7" s="668">
        <f t="shared" si="0"/>
        <v>66</v>
      </c>
      <c r="E7" s="669">
        <f>'画堂春锦苑8#楼明细表'!B91</f>
        <v>1</v>
      </c>
      <c r="F7" s="670"/>
      <c r="G7" s="671">
        <f>'画堂春锦苑8#楼明细表'!R91</f>
        <v>220000</v>
      </c>
      <c r="H7" s="671"/>
      <c r="I7" s="671"/>
      <c r="J7" s="672">
        <f>'画堂春锦苑8#楼明细表'!J91</f>
        <v>9054.69</v>
      </c>
      <c r="K7" s="672">
        <f>J7-745.73</f>
        <v>8308.96</v>
      </c>
      <c r="L7" s="685">
        <f>40+8+1+3+4+1+2+2</f>
        <v>61</v>
      </c>
      <c r="M7" s="672">
        <f>'画堂春锦苑8#楼明细表'!M91</f>
        <v>47812177</v>
      </c>
      <c r="N7" s="672">
        <f>'画堂春锦苑8#楼明细表'!K91</f>
        <v>7853.88</v>
      </c>
      <c r="O7" s="672">
        <f>'画堂春锦苑8#楼明细表'!AH91</f>
        <v>47431395</v>
      </c>
      <c r="P7" s="674">
        <f>'画堂春锦9#10#11#12#住宅'!AI338</f>
        <v>0</v>
      </c>
      <c r="Q7" s="671">
        <f>'画堂春锦苑8#楼明细表'!AJ91</f>
        <v>0</v>
      </c>
      <c r="R7" s="675">
        <f t="shared" si="1"/>
        <v>47431395</v>
      </c>
      <c r="S7" s="672">
        <f>'画堂春锦苑8#楼明细表'!AK91</f>
        <v>380782</v>
      </c>
      <c r="T7" s="676">
        <f t="shared" si="2"/>
        <v>5</v>
      </c>
      <c r="U7" s="677">
        <f t="shared" si="3"/>
        <v>455.079999999995</v>
      </c>
      <c r="V7" s="678"/>
      <c r="W7" s="686"/>
      <c r="Y7" s="662"/>
      <c r="Z7" s="663"/>
      <c r="AA7" s="687"/>
      <c r="AB7" s="681"/>
      <c r="AC7" s="693"/>
      <c r="AD7" s="693"/>
      <c r="AE7" s="693"/>
      <c r="AF7" s="693"/>
      <c r="AG7" s="693"/>
      <c r="AH7" s="693"/>
      <c r="AI7" s="693"/>
      <c r="AJ7" s="693"/>
      <c r="AK7" s="694"/>
      <c r="AL7" s="693"/>
      <c r="AM7" s="693"/>
      <c r="AN7" s="693"/>
      <c r="AO7" s="488"/>
      <c r="AP7" s="488"/>
      <c r="AQ7" s="488"/>
      <c r="AR7" s="488"/>
      <c r="AS7" s="488"/>
      <c r="AT7" s="488"/>
      <c r="AU7" s="488"/>
    </row>
    <row r="8" s="196" customFormat="1" ht="35" customHeight="1" spans="1:47">
      <c r="A8" s="683">
        <v>5</v>
      </c>
      <c r="B8" s="692" t="s">
        <v>66</v>
      </c>
      <c r="C8" s="668">
        <f>'画堂春锦苑住宅4#6#'!A168</f>
        <v>132</v>
      </c>
      <c r="D8" s="668">
        <f t="shared" si="0"/>
        <v>132</v>
      </c>
      <c r="E8" s="669">
        <f>'画堂春锦苑住宅4#6#'!B168</f>
        <v>12</v>
      </c>
      <c r="F8" s="670"/>
      <c r="G8" s="671">
        <f>'画堂春锦苑住宅4#6#'!S168</f>
        <v>6189246</v>
      </c>
      <c r="H8" s="671"/>
      <c r="I8" s="671"/>
      <c r="J8" s="672">
        <f>'画堂春锦苑住宅4#6#'!K168</f>
        <v>19425.76</v>
      </c>
      <c r="K8" s="672">
        <f>J8-744.94-830.47</f>
        <v>17850.35</v>
      </c>
      <c r="L8" s="685">
        <f>5+1+6+2+6+10+5+5+6+9+33</f>
        <v>88</v>
      </c>
      <c r="M8" s="672">
        <f>'画堂春锦苑住宅4#6#'!N168</f>
        <v>77597104</v>
      </c>
      <c r="N8" s="672">
        <f>'画堂春锦苑住宅4#6#'!L168</f>
        <v>13303.69</v>
      </c>
      <c r="O8" s="672">
        <f>'画堂春锦苑住宅4#6#'!AI168</f>
        <v>69531989</v>
      </c>
      <c r="P8" s="674"/>
      <c r="Q8" s="671"/>
      <c r="R8" s="675">
        <f t="shared" si="1"/>
        <v>69531989</v>
      </c>
      <c r="S8" s="672">
        <f>'画堂春锦苑住宅4#6#'!AL168</f>
        <v>7202395</v>
      </c>
      <c r="T8" s="676">
        <f t="shared" si="2"/>
        <v>44</v>
      </c>
      <c r="U8" s="677">
        <f t="shared" si="3"/>
        <v>4546.66000000001</v>
      </c>
      <c r="V8" s="678"/>
      <c r="W8" s="686"/>
      <c r="Y8" s="662"/>
      <c r="Z8" s="663"/>
      <c r="AA8" s="695"/>
      <c r="AB8" s="681"/>
      <c r="AC8" s="696"/>
      <c r="AD8" s="696"/>
      <c r="AE8" s="696"/>
      <c r="AF8" s="696"/>
      <c r="AG8" s="696"/>
      <c r="AH8" s="696"/>
      <c r="AI8" s="696"/>
      <c r="AJ8" s="696"/>
      <c r="AK8" s="697"/>
      <c r="AL8" s="696"/>
      <c r="AM8" s="696"/>
      <c r="AN8" s="696"/>
      <c r="AO8" s="488"/>
      <c r="AP8" s="488"/>
      <c r="AQ8" s="488"/>
      <c r="AR8" s="488"/>
      <c r="AS8" s="488"/>
      <c r="AT8" s="488"/>
      <c r="AU8" s="488"/>
    </row>
    <row r="9" s="196" customFormat="1" ht="34" customHeight="1" spans="1:47">
      <c r="A9" s="683">
        <v>6</v>
      </c>
      <c r="B9" s="667" t="s">
        <v>67</v>
      </c>
      <c r="C9" s="668">
        <f>'画堂春锦苑商业16#19#'!A63</f>
        <v>58</v>
      </c>
      <c r="D9" s="668">
        <f t="shared" si="0"/>
        <v>58</v>
      </c>
      <c r="E9" s="669">
        <f>'画堂春锦苑商业16#19#'!B64</f>
        <v>0</v>
      </c>
      <c r="F9" s="670"/>
      <c r="G9" s="671">
        <f>'画堂春锦苑商业16#19#'!R64</f>
        <v>2040000</v>
      </c>
      <c r="H9" s="671"/>
      <c r="I9" s="671"/>
      <c r="J9" s="672">
        <f>'画堂春锦苑商业16#19#'!J64</f>
        <v>5820.18999999999</v>
      </c>
      <c r="K9" s="672">
        <f>J9-92.29-1005.66</f>
        <v>4722.23999999999</v>
      </c>
      <c r="L9" s="685">
        <f>19+5+4+2+6+3+2+1+1</f>
        <v>43</v>
      </c>
      <c r="M9" s="672">
        <f>'画堂春锦苑商业16#19#'!M64</f>
        <v>50842294</v>
      </c>
      <c r="N9" s="672">
        <f>'画堂春锦苑商业16#19#'!K64</f>
        <v>3161.95</v>
      </c>
      <c r="O9" s="672">
        <f>'画堂春锦苑商业16#19#'!AH64</f>
        <v>42665833</v>
      </c>
      <c r="P9" s="674"/>
      <c r="Q9" s="671"/>
      <c r="R9" s="675">
        <f t="shared" si="1"/>
        <v>42665833</v>
      </c>
      <c r="S9" s="672">
        <f>'画堂春锦苑商业16#19#'!AK64</f>
        <v>8176461</v>
      </c>
      <c r="T9" s="676">
        <f t="shared" si="2"/>
        <v>15</v>
      </c>
      <c r="U9" s="677">
        <f t="shared" si="3"/>
        <v>1560.28999999999</v>
      </c>
      <c r="V9" s="678"/>
      <c r="W9" s="686"/>
      <c r="Y9" s="662"/>
      <c r="Z9" s="663"/>
      <c r="AA9" s="695"/>
      <c r="AB9" s="681"/>
      <c r="AC9" s="695"/>
      <c r="AD9" s="698"/>
      <c r="AE9" s="698"/>
      <c r="AF9" s="699"/>
      <c r="AG9" s="699"/>
      <c r="AH9" s="699"/>
      <c r="AI9" s="699"/>
      <c r="AJ9" s="700"/>
      <c r="AK9" s="701"/>
      <c r="AL9" s="699"/>
      <c r="AM9" s="699"/>
      <c r="AN9" s="702"/>
      <c r="AO9" s="488"/>
      <c r="AP9" s="488"/>
      <c r="AQ9" s="488"/>
      <c r="AR9" s="488"/>
      <c r="AS9" s="488"/>
      <c r="AT9" s="488"/>
      <c r="AU9" s="488"/>
    </row>
    <row r="10" s="196" customFormat="1" ht="12" customHeight="1" spans="1:47">
      <c r="A10" s="703"/>
      <c r="B10" s="704"/>
      <c r="C10" s="705"/>
      <c r="D10" s="705"/>
      <c r="E10" s="706"/>
      <c r="F10" s="707"/>
      <c r="G10" s="708"/>
      <c r="H10" s="708"/>
      <c r="I10" s="708"/>
      <c r="J10" s="709"/>
      <c r="K10" s="709"/>
      <c r="L10" s="710"/>
      <c r="M10" s="708"/>
      <c r="N10" s="708"/>
      <c r="O10" s="711"/>
      <c r="P10" s="712"/>
      <c r="Q10" s="708"/>
      <c r="R10" s="713"/>
      <c r="S10" s="709"/>
      <c r="T10" s="714"/>
      <c r="U10" s="715"/>
      <c r="V10" s="716"/>
      <c r="W10" s="717"/>
      <c r="Y10" s="718"/>
      <c r="Z10" s="696"/>
      <c r="AB10" s="695"/>
      <c r="AC10" s="695"/>
      <c r="AD10" s="698"/>
      <c r="AE10" s="698"/>
      <c r="AF10" s="699"/>
      <c r="AG10" s="699"/>
      <c r="AH10" s="699"/>
      <c r="AI10" s="699"/>
      <c r="AJ10" s="699"/>
      <c r="AK10" s="719"/>
      <c r="AL10" s="699"/>
      <c r="AM10" s="699"/>
      <c r="AN10" s="699"/>
      <c r="AO10" s="488"/>
      <c r="AP10" s="488"/>
      <c r="AQ10" s="488"/>
      <c r="AR10" s="488"/>
      <c r="AS10" s="488"/>
      <c r="AT10" s="488"/>
      <c r="AU10" s="488"/>
    </row>
    <row r="11" s="196" customFormat="1" ht="41" customHeight="1" spans="1:47">
      <c r="A11" s="720" t="s">
        <v>68</v>
      </c>
      <c r="B11" s="721"/>
      <c r="C11" s="721">
        <f>SUM(C4:C9)</f>
        <v>1001</v>
      </c>
      <c r="D11" s="721">
        <f>SUM(D4:D9)</f>
        <v>1001</v>
      </c>
      <c r="E11" s="722">
        <f>SUM(E4:E9)</f>
        <v>13</v>
      </c>
      <c r="F11" s="723">
        <f>SUM(F4:F9)</f>
        <v>0</v>
      </c>
      <c r="G11" s="724">
        <f>SUM(G4:G9)</f>
        <v>9891226</v>
      </c>
      <c r="H11" s="724"/>
      <c r="I11" s="724"/>
      <c r="J11" s="725">
        <f>SUM(J4:J9)</f>
        <v>129297.92</v>
      </c>
      <c r="K11" s="725">
        <f>SUM(K4:K9)</f>
        <v>118865.94</v>
      </c>
      <c r="L11" s="726">
        <f t="shared" ref="L11:S11" si="4">SUM(L4:L9)</f>
        <v>892</v>
      </c>
      <c r="M11" s="725">
        <f t="shared" si="4"/>
        <v>757805963</v>
      </c>
      <c r="N11" s="725">
        <f t="shared" si="4"/>
        <v>105826.27</v>
      </c>
      <c r="O11" s="725">
        <f t="shared" si="4"/>
        <v>731829710</v>
      </c>
      <c r="P11" s="727">
        <f t="shared" si="4"/>
        <v>0</v>
      </c>
      <c r="Q11" s="727">
        <f t="shared" si="4"/>
        <v>0</v>
      </c>
      <c r="R11" s="728">
        <f t="shared" si="4"/>
        <v>731829710</v>
      </c>
      <c r="S11" s="725">
        <f t="shared" si="4"/>
        <v>25113533</v>
      </c>
      <c r="T11" s="726">
        <f>SUM(T5:T9)</f>
        <v>104</v>
      </c>
      <c r="U11" s="729">
        <f>SUM(U4:U9)</f>
        <v>13039.6699999999</v>
      </c>
      <c r="V11" s="730">
        <f>SUM(V4:V9)</f>
        <v>0</v>
      </c>
      <c r="W11" s="731"/>
      <c r="Y11" s="718"/>
      <c r="Z11" s="696"/>
      <c r="AA11" s="695"/>
      <c r="AB11" s="695"/>
      <c r="AC11" s="695"/>
      <c r="AD11" s="698"/>
      <c r="AE11" s="698"/>
      <c r="AF11" s="699"/>
      <c r="AG11" s="699"/>
      <c r="AH11" s="699"/>
      <c r="AI11" s="699"/>
      <c r="AJ11" s="699"/>
      <c r="AK11" s="719"/>
      <c r="AL11" s="699"/>
      <c r="AM11" s="699"/>
      <c r="AN11" s="699"/>
      <c r="AO11" s="488"/>
      <c r="AP11" s="488"/>
      <c r="AQ11" s="488"/>
      <c r="AR11" s="488"/>
      <c r="AS11" s="488"/>
      <c r="AT11" s="488"/>
      <c r="AU11" s="488"/>
    </row>
    <row r="12" s="621" customFormat="1" ht="27.75" customHeight="1" spans="1:47">
      <c r="A12" s="732"/>
      <c r="B12" s="733"/>
      <c r="C12" s="734"/>
      <c r="D12" s="735"/>
      <c r="E12" s="735"/>
      <c r="F12" s="736" t="s">
        <v>69</v>
      </c>
      <c r="G12" s="737"/>
      <c r="H12" s="738"/>
      <c r="I12" s="738"/>
      <c r="J12" s="739"/>
      <c r="K12" s="740"/>
      <c r="L12" s="741"/>
      <c r="M12" s="740"/>
      <c r="N12" s="740" t="s">
        <v>70</v>
      </c>
      <c r="O12" s="742">
        <v>731828710</v>
      </c>
      <c r="P12" s="743">
        <v>46112</v>
      </c>
      <c r="Q12" s="744"/>
      <c r="R12" s="745" t="s">
        <v>71</v>
      </c>
      <c r="S12" s="746"/>
      <c r="T12" s="741"/>
      <c r="U12" s="747"/>
      <c r="V12" s="748"/>
      <c r="W12" s="735"/>
      <c r="Y12" s="718"/>
      <c r="Z12" s="718"/>
      <c r="AA12" s="695"/>
      <c r="AB12" s="695"/>
      <c r="AC12" s="695"/>
      <c r="AD12" s="698"/>
      <c r="AE12" s="698"/>
      <c r="AF12" s="699"/>
      <c r="AG12" s="699"/>
      <c r="AH12" s="699"/>
      <c r="AI12" s="699"/>
      <c r="AJ12" s="699"/>
      <c r="AK12" s="719"/>
      <c r="AL12" s="699"/>
      <c r="AM12" s="699"/>
      <c r="AN12" s="699"/>
      <c r="AO12" s="749"/>
      <c r="AP12" s="749"/>
      <c r="AQ12" s="749"/>
      <c r="AR12" s="749"/>
      <c r="AS12" s="749"/>
      <c r="AT12" s="749"/>
      <c r="AU12" s="749"/>
    </row>
    <row r="13" s="621" customFormat="1" ht="34" customHeight="1" spans="1:47">
      <c r="A13" s="732"/>
      <c r="B13" s="733"/>
      <c r="C13" s="734"/>
      <c r="D13" s="735"/>
      <c r="E13" s="735"/>
      <c r="F13" s="736" t="s">
        <v>72</v>
      </c>
      <c r="G13" s="377"/>
      <c r="H13" s="750"/>
      <c r="I13" s="750"/>
      <c r="J13" s="739"/>
      <c r="K13" s="740"/>
      <c r="L13" s="741"/>
      <c r="M13" s="740"/>
      <c r="N13" s="740" t="s">
        <v>73</v>
      </c>
      <c r="O13" s="751">
        <f>103958711.46-228079.46+(1624480+888874+46414+417692+24611+30000-25366)+197724+10000</f>
        <v>106945061</v>
      </c>
      <c r="P13" s="752">
        <f>278868823+16205837+10864302+2110283+1889015+2370546+12568286+850000+1260000+3858826+583956+211152844+5602998+1135429+2070978+2050016+1255957+604503+2074798+1199666+44762184+354+1433447+2364095.27+656000+20000+1503005+10000+3472444+1434885+200000+1498276+857000+509104.73+10000+1042863+3096460+200000+450000+590000+781959+214233+530000+220000+549000</f>
        <v>624982373</v>
      </c>
      <c r="Q13" s="753"/>
      <c r="R13" s="621"/>
      <c r="S13" s="746"/>
      <c r="T13" s="741"/>
      <c r="U13" s="747"/>
      <c r="V13" s="748"/>
      <c r="W13" s="735"/>
      <c r="Y13" s="718"/>
      <c r="Z13" s="718"/>
      <c r="AA13" s="695"/>
      <c r="AB13" s="695"/>
      <c r="AC13" s="695"/>
      <c r="AD13" s="698"/>
      <c r="AE13" s="698"/>
      <c r="AF13" s="699"/>
      <c r="AG13" s="699"/>
      <c r="AH13" s="699"/>
      <c r="AI13" s="699"/>
      <c r="AJ13" s="699"/>
      <c r="AK13" s="719"/>
      <c r="AL13" s="699"/>
      <c r="AM13" s="699"/>
      <c r="AN13" s="699"/>
      <c r="AO13" s="749"/>
      <c r="AP13" s="749"/>
      <c r="AQ13" s="749"/>
      <c r="AR13" s="749"/>
      <c r="AS13" s="749"/>
      <c r="AT13" s="749"/>
      <c r="AU13" s="749"/>
    </row>
    <row r="14" s="621" customFormat="1" ht="34" customHeight="1" spans="1:47">
      <c r="A14" s="732"/>
      <c r="B14" s="733"/>
      <c r="C14" s="734"/>
      <c r="D14" s="754"/>
      <c r="E14" s="735"/>
      <c r="F14" s="755" t="s">
        <v>74</v>
      </c>
      <c r="G14" s="377"/>
      <c r="I14" s="738"/>
      <c r="J14" s="739"/>
      <c r="L14" s="740"/>
      <c r="M14" s="740"/>
      <c r="N14" s="740" t="s">
        <v>75</v>
      </c>
      <c r="O14" s="756"/>
      <c r="P14" s="621" t="s">
        <v>76</v>
      </c>
      <c r="Q14" s="739"/>
      <c r="R14" s="757"/>
      <c r="S14" s="739"/>
      <c r="T14" s="740"/>
      <c r="U14" s="740"/>
      <c r="V14" s="748"/>
      <c r="W14" s="735"/>
      <c r="Y14" s="718"/>
      <c r="Z14" s="718"/>
      <c r="AA14" s="758"/>
      <c r="AB14" s="758"/>
      <c r="AC14" s="698"/>
      <c r="AD14" s="698"/>
      <c r="AE14" s="698"/>
      <c r="AF14" s="718"/>
      <c r="AG14" s="718"/>
      <c r="AH14" s="718"/>
      <c r="AI14" s="718"/>
      <c r="AJ14" s="718"/>
      <c r="AK14" s="759"/>
      <c r="AL14" s="718"/>
      <c r="AM14" s="718"/>
      <c r="AN14" s="718"/>
      <c r="AO14" s="749"/>
      <c r="AP14" s="749"/>
      <c r="AQ14" s="749"/>
      <c r="AR14" s="749"/>
      <c r="AS14" s="749"/>
      <c r="AT14" s="749"/>
      <c r="AU14" s="749"/>
    </row>
    <row r="15" s="621" customFormat="1" ht="34" customHeight="1" spans="1:47">
      <c r="A15" s="732"/>
      <c r="B15" s="733"/>
      <c r="C15" s="734"/>
      <c r="D15" s="754"/>
      <c r="E15" s="735"/>
      <c r="F15" s="755" t="s">
        <v>77</v>
      </c>
      <c r="G15" s="377"/>
      <c r="H15" s="760" t="s">
        <v>78</v>
      </c>
      <c r="I15" s="760"/>
      <c r="J15" s="739"/>
      <c r="K15" s="740"/>
      <c r="L15" s="740"/>
      <c r="M15" s="740"/>
      <c r="N15" s="740" t="s">
        <v>79</v>
      </c>
      <c r="O15" s="756">
        <v>96724</v>
      </c>
      <c r="P15" s="621" t="s">
        <v>76</v>
      </c>
      <c r="Q15" s="739"/>
      <c r="R15" s="757">
        <v>137779</v>
      </c>
      <c r="S15" s="746">
        <f>R15-O15</f>
        <v>41055</v>
      </c>
      <c r="T15" s="740"/>
      <c r="U15" s="740"/>
      <c r="V15" s="748"/>
      <c r="W15" s="735"/>
      <c r="Y15" s="749"/>
      <c r="Z15" s="749"/>
      <c r="AA15" s="758"/>
      <c r="AB15" s="758"/>
      <c r="AC15" s="698"/>
      <c r="AD15" s="698"/>
      <c r="AE15" s="698"/>
      <c r="AF15" s="749"/>
      <c r="AG15" s="749"/>
      <c r="AH15" s="749"/>
      <c r="AI15" s="749"/>
      <c r="AJ15" s="749"/>
      <c r="AK15" s="761"/>
      <c r="AL15" s="749"/>
      <c r="AM15" s="749"/>
      <c r="AN15" s="749"/>
      <c r="AO15" s="749"/>
      <c r="AP15" s="749"/>
      <c r="AQ15" s="749"/>
      <c r="AR15" s="749"/>
      <c r="AS15" s="749"/>
      <c r="AT15" s="749"/>
      <c r="AU15" s="749"/>
    </row>
    <row r="16" s="621" customFormat="1" ht="34" customHeight="1" spans="1:47">
      <c r="A16" s="732"/>
      <c r="B16" s="733"/>
      <c r="C16" s="734"/>
      <c r="D16" s="762"/>
      <c r="E16" s="735"/>
      <c r="F16" s="755"/>
      <c r="G16" s="763"/>
      <c r="H16" s="760"/>
      <c r="I16" s="760"/>
      <c r="J16" s="739"/>
      <c r="K16" s="740"/>
      <c r="L16" s="740"/>
      <c r="M16" s="740"/>
      <c r="N16" s="740"/>
      <c r="O16" s="756"/>
      <c r="P16" s="621"/>
      <c r="Q16" s="739"/>
      <c r="R16" s="757"/>
      <c r="S16" s="746"/>
      <c r="T16" s="740"/>
      <c r="U16" s="740"/>
      <c r="V16" s="748"/>
      <c r="W16" s="735"/>
      <c r="Y16" s="749"/>
      <c r="Z16" s="749"/>
      <c r="AA16" s="758"/>
      <c r="AB16" s="758"/>
      <c r="AC16" s="698"/>
      <c r="AD16" s="698"/>
      <c r="AE16" s="698"/>
      <c r="AF16" s="749"/>
      <c r="AG16" s="749"/>
      <c r="AH16" s="749"/>
      <c r="AI16" s="749"/>
      <c r="AJ16" s="749"/>
      <c r="AK16" s="761"/>
      <c r="AL16" s="749"/>
      <c r="AM16" s="749"/>
      <c r="AN16" s="749"/>
      <c r="AO16" s="749"/>
      <c r="AP16" s="749"/>
      <c r="AQ16" s="749"/>
      <c r="AR16" s="749"/>
      <c r="AS16" s="749"/>
      <c r="AT16" s="749"/>
      <c r="AU16" s="749"/>
    </row>
    <row r="17" s="621" customFormat="1" ht="36" customHeight="1" spans="1:47">
      <c r="A17" s="732"/>
      <c r="B17" s="733"/>
      <c r="C17" s="764"/>
      <c r="D17" s="765"/>
      <c r="E17" s="735"/>
      <c r="F17" s="766" t="s">
        <v>80</v>
      </c>
      <c r="G17" s="767"/>
      <c r="H17" s="768"/>
      <c r="I17" s="769"/>
      <c r="J17" s="739"/>
      <c r="K17" s="740"/>
      <c r="L17" s="740"/>
      <c r="M17" s="740"/>
      <c r="N17" s="740" t="s">
        <v>81</v>
      </c>
      <c r="O17" s="770">
        <f>O11-O12-G15</f>
        <v>1000</v>
      </c>
      <c r="P17" s="771" t="s">
        <v>82</v>
      </c>
      <c r="Q17" s="772"/>
      <c r="R17" s="773"/>
      <c r="S17" s="746"/>
      <c r="T17" s="740"/>
      <c r="U17" s="740"/>
      <c r="V17" s="748"/>
      <c r="W17" s="735"/>
      <c r="Y17" s="749"/>
      <c r="Z17" s="749"/>
      <c r="AA17" s="758"/>
      <c r="AB17" s="758"/>
      <c r="AC17" s="698"/>
      <c r="AD17" s="698"/>
      <c r="AE17" s="698"/>
      <c r="AF17" s="749"/>
      <c r="AG17" s="749"/>
      <c r="AH17" s="749"/>
      <c r="AI17" s="749"/>
      <c r="AJ17" s="749"/>
      <c r="AK17" s="761"/>
      <c r="AL17" s="749"/>
      <c r="AM17" s="749"/>
      <c r="AN17" s="749"/>
      <c r="AO17" s="749"/>
      <c r="AP17" s="749"/>
      <c r="AQ17" s="749"/>
      <c r="AR17" s="749"/>
      <c r="AS17" s="749"/>
      <c r="AT17" s="749"/>
      <c r="AU17" s="749"/>
    </row>
    <row r="18" s="621" customFormat="1" ht="34" customHeight="1" spans="1:47">
      <c r="A18" s="732"/>
      <c r="B18" s="733"/>
      <c r="C18" s="764"/>
      <c r="D18" s="735"/>
      <c r="E18" s="735"/>
      <c r="F18" s="766"/>
      <c r="G18" s="767"/>
      <c r="H18" s="768"/>
      <c r="I18" s="769"/>
      <c r="J18" s="774"/>
      <c r="K18" s="740"/>
      <c r="L18" s="740"/>
      <c r="M18" s="740"/>
      <c r="N18" s="740" t="s">
        <v>83</v>
      </c>
      <c r="O18" s="756">
        <f>O11-O13-P13+O15</f>
        <v>-1000</v>
      </c>
      <c r="P18" s="771"/>
      <c r="Q18" s="773"/>
      <c r="R18" s="773"/>
      <c r="S18" s="746"/>
      <c r="T18" s="740"/>
      <c r="U18" s="740"/>
      <c r="V18" s="748"/>
      <c r="W18" s="735"/>
      <c r="Y18" s="749"/>
      <c r="Z18" s="749"/>
      <c r="AA18" s="758"/>
      <c r="AB18" s="758"/>
      <c r="AC18" s="698"/>
      <c r="AD18" s="698"/>
      <c r="AE18" s="698"/>
      <c r="AF18" s="749"/>
      <c r="AG18" s="749"/>
      <c r="AH18" s="749"/>
      <c r="AI18" s="749"/>
      <c r="AJ18" s="749"/>
      <c r="AK18" s="761"/>
      <c r="AL18" s="749"/>
      <c r="AM18" s="749"/>
      <c r="AN18" s="749"/>
      <c r="AO18" s="749"/>
      <c r="AP18" s="775"/>
      <c r="AQ18" s="776"/>
      <c r="AR18" s="749"/>
      <c r="AS18" s="749"/>
      <c r="AT18" s="749"/>
      <c r="AU18" s="749"/>
    </row>
    <row r="19" s="621" customFormat="1" ht="19" customHeight="1" spans="1:47">
      <c r="A19" s="777"/>
      <c r="B19" s="778"/>
      <c r="C19" s="779"/>
      <c r="D19" s="780"/>
      <c r="E19" s="780"/>
      <c r="F19" s="766"/>
      <c r="G19" s="781"/>
      <c r="H19" s="782"/>
      <c r="I19" s="783"/>
      <c r="J19" s="377"/>
      <c r="K19" s="784"/>
      <c r="L19" s="784"/>
      <c r="M19" s="740"/>
      <c r="N19" s="740"/>
      <c r="O19" s="785">
        <v>1000</v>
      </c>
      <c r="P19" s="621"/>
      <c r="Q19" s="739"/>
      <c r="R19" s="757"/>
      <c r="S19" s="746"/>
      <c r="T19" s="740"/>
      <c r="U19" s="740"/>
      <c r="V19" s="786"/>
      <c r="W19" s="780"/>
      <c r="Y19" s="749"/>
      <c r="Z19" s="749"/>
      <c r="AA19" s="758"/>
      <c r="AB19" s="758"/>
      <c r="AC19" s="698"/>
      <c r="AD19" s="698"/>
      <c r="AE19" s="698"/>
      <c r="AF19" s="718"/>
      <c r="AG19" s="787"/>
      <c r="AH19" s="787"/>
      <c r="AI19" s="718"/>
      <c r="AJ19" s="718"/>
      <c r="AK19" s="759"/>
      <c r="AL19" s="788"/>
      <c r="AM19" s="749"/>
      <c r="AN19" s="749"/>
      <c r="AO19" s="749"/>
      <c r="AP19" s="789"/>
      <c r="AQ19" s="749"/>
      <c r="AR19" s="749"/>
      <c r="AS19" s="749"/>
      <c r="AT19" s="749"/>
      <c r="AU19" s="749"/>
    </row>
    <row r="20" s="621" customFormat="1" ht="16" customHeight="1" spans="1:47">
      <c r="A20" s="777"/>
      <c r="B20" s="778"/>
      <c r="C20" s="779"/>
      <c r="D20" s="780"/>
      <c r="E20" s="780"/>
      <c r="F20" s="766"/>
      <c r="G20" s="767"/>
      <c r="H20" s="790"/>
      <c r="I20" s="791"/>
      <c r="J20" s="746"/>
      <c r="K20" s="753"/>
      <c r="L20" s="740"/>
      <c r="M20" s="740"/>
      <c r="N20" s="740"/>
      <c r="O20" s="785"/>
      <c r="Q20" s="739"/>
      <c r="R20" s="757"/>
      <c r="S20" s="746"/>
      <c r="T20" s="740"/>
      <c r="U20" s="740"/>
      <c r="V20" s="786"/>
      <c r="W20" s="780"/>
      <c r="Y20" s="749"/>
      <c r="Z20" s="749"/>
      <c r="AA20" s="792"/>
      <c r="AB20" s="792"/>
      <c r="AC20" s="792"/>
      <c r="AD20" s="792"/>
      <c r="AE20" s="698"/>
      <c r="AF20" s="718"/>
      <c r="AG20" s="787"/>
      <c r="AH20" s="787"/>
      <c r="AI20" s="718"/>
      <c r="AJ20" s="718"/>
      <c r="AK20" s="759"/>
      <c r="AL20" s="788"/>
      <c r="AM20" s="749"/>
      <c r="AN20" s="749"/>
      <c r="AO20" s="749"/>
      <c r="AP20" s="789"/>
      <c r="AQ20" s="749"/>
      <c r="AR20" s="749"/>
      <c r="AS20" s="749"/>
      <c r="AT20" s="749"/>
      <c r="AU20" s="749"/>
    </row>
    <row r="21" s="621" customFormat="1" ht="23" customHeight="1" spans="1:47">
      <c r="A21" s="777"/>
      <c r="B21" s="778"/>
      <c r="C21" s="779"/>
      <c r="D21" s="780"/>
      <c r="E21" s="780"/>
      <c r="F21" s="766"/>
      <c r="G21" s="767"/>
      <c r="H21" s="793"/>
      <c r="I21" s="794"/>
      <c r="J21" s="746"/>
      <c r="K21" s="753"/>
      <c r="L21" s="740"/>
      <c r="M21" s="740"/>
      <c r="N21" s="740"/>
      <c r="O21" s="785"/>
      <c r="P21" s="621"/>
      <c r="Q21" s="739"/>
      <c r="R21" s="757"/>
      <c r="S21" s="746"/>
      <c r="T21" s="740"/>
      <c r="U21" s="740"/>
      <c r="V21" s="786"/>
      <c r="W21" s="780"/>
      <c r="Y21" s="749"/>
      <c r="Z21" s="749"/>
      <c r="AA21" s="718"/>
      <c r="AB21" s="718"/>
      <c r="AC21" s="718"/>
      <c r="AD21" s="787"/>
      <c r="AE21" s="718"/>
      <c r="AF21" s="718"/>
      <c r="AG21" s="787"/>
      <c r="AH21" s="787"/>
      <c r="AI21" s="718"/>
      <c r="AJ21" s="718"/>
      <c r="AK21" s="759"/>
      <c r="AL21" s="788"/>
      <c r="AM21" s="749"/>
      <c r="AN21" s="749"/>
      <c r="AO21" s="749"/>
      <c r="AP21" s="749"/>
      <c r="AQ21" s="749"/>
      <c r="AR21" s="749"/>
      <c r="AS21" s="749"/>
      <c r="AT21" s="749"/>
      <c r="AU21" s="749"/>
    </row>
    <row r="22" s="621" customFormat="1" ht="20" customHeight="1" spans="1:47">
      <c r="A22" s="777"/>
      <c r="B22" s="778"/>
      <c r="C22" s="779"/>
      <c r="D22" s="780"/>
      <c r="E22" s="780"/>
      <c r="F22" s="795"/>
      <c r="G22" s="377"/>
      <c r="H22" s="621"/>
      <c r="I22" s="796"/>
      <c r="J22" s="746"/>
      <c r="K22" s="753"/>
      <c r="L22" s="740"/>
      <c r="M22" s="740"/>
      <c r="N22" s="740"/>
      <c r="O22" s="785"/>
      <c r="P22" s="621"/>
      <c r="Q22" s="739"/>
      <c r="R22" s="757"/>
      <c r="S22" s="746"/>
      <c r="T22" s="740"/>
      <c r="U22" s="740"/>
      <c r="V22" s="786"/>
      <c r="W22" s="780"/>
      <c r="Y22" s="749"/>
      <c r="Z22" s="749"/>
      <c r="AA22" s="718"/>
      <c r="AB22" s="718"/>
      <c r="AC22" s="718"/>
      <c r="AD22" s="787"/>
      <c r="AE22" s="696"/>
      <c r="AF22" s="718"/>
      <c r="AG22" s="787"/>
      <c r="AH22" s="787"/>
      <c r="AI22" s="718"/>
      <c r="AJ22" s="718"/>
      <c r="AK22" s="759"/>
      <c r="AL22" s="788"/>
      <c r="AM22" s="749"/>
      <c r="AN22" s="749"/>
      <c r="AO22" s="749"/>
      <c r="AP22" s="749"/>
      <c r="AQ22" s="749"/>
      <c r="AR22" s="749"/>
      <c r="AS22" s="749"/>
      <c r="AT22" s="749"/>
      <c r="AU22" s="749"/>
    </row>
    <row r="23" ht="36" customHeight="1" spans="1:47">
      <c r="A23" s="797"/>
      <c r="B23" s="798"/>
      <c r="C23" s="799"/>
      <c r="D23" s="797"/>
      <c r="E23" s="797"/>
      <c r="F23" s="797"/>
      <c r="G23" s="377">
        <f>G14-G17-G18-G19-G20</f>
        <v>0</v>
      </c>
      <c r="H23" s="800">
        <f>G23/1.09</f>
        <v>0</v>
      </c>
      <c r="I23" s="801"/>
      <c r="J23" s="802"/>
      <c r="K23" s="797">
        <f>D28+F28+J28+M28</f>
        <v>5864988</v>
      </c>
      <c r="L23" s="803">
        <f>K23/1.09</f>
        <v>5380722.93577982</v>
      </c>
      <c r="M23" s="804">
        <f>N28+E28</f>
        <v>1986238</v>
      </c>
      <c r="N23" s="805">
        <f>M23/1.09</f>
        <v>1822236.69724771</v>
      </c>
      <c r="O23" s="806">
        <f>H28+O28</f>
        <v>2040000</v>
      </c>
      <c r="P23" s="807">
        <f>O23/1.09</f>
        <v>1871559.63302752</v>
      </c>
      <c r="Q23" s="808"/>
      <c r="R23" s="809"/>
      <c r="S23" s="810"/>
      <c r="T23" s="811"/>
      <c r="U23" s="805"/>
      <c r="V23" s="797"/>
      <c r="W23" s="812"/>
      <c r="X23" s="813"/>
      <c r="AA23" s="718"/>
      <c r="AB23" s="718"/>
      <c r="AC23" s="718"/>
      <c r="AD23" s="787"/>
      <c r="AE23" s="718"/>
      <c r="AF23" s="718"/>
      <c r="AG23" s="718"/>
      <c r="AH23" s="718"/>
      <c r="AI23" s="718"/>
      <c r="AJ23" s="718"/>
      <c r="AK23" s="759"/>
      <c r="AL23" s="788"/>
    </row>
    <row r="24" ht="37" customHeight="1" spans="1:47">
      <c r="B24" s="814" t="s">
        <v>84</v>
      </c>
      <c r="C24" s="814"/>
      <c r="D24" s="814"/>
      <c r="E24" s="814"/>
      <c r="F24" s="814"/>
      <c r="G24" s="814"/>
      <c r="H24" s="814"/>
      <c r="I24" s="814"/>
      <c r="J24" s="814"/>
      <c r="K24" s="814"/>
      <c r="L24" s="814"/>
      <c r="M24" s="814"/>
      <c r="N24" s="814"/>
      <c r="O24" s="814"/>
      <c r="P24" s="814"/>
      <c r="Q24" s="814"/>
      <c r="R24" s="814"/>
      <c r="S24" s="814"/>
      <c r="T24" s="815"/>
      <c r="U24" s="816"/>
      <c r="V24" s="817"/>
      <c r="W24" s="818"/>
      <c r="X24" s="819"/>
      <c r="AA24" s="718"/>
      <c r="AB24" s="718"/>
      <c r="AC24" s="718"/>
      <c r="AD24" s="787"/>
      <c r="AE24" s="718"/>
      <c r="AF24" s="718"/>
      <c r="AG24" s="718"/>
      <c r="AH24" s="718"/>
      <c r="AI24" s="718"/>
      <c r="AJ24" s="718"/>
      <c r="AK24" s="759"/>
      <c r="AL24" s="788"/>
    </row>
    <row r="25" ht="29" customHeight="1" spans="1:47">
      <c r="B25" s="820" t="s">
        <v>85</v>
      </c>
      <c r="C25" s="820"/>
      <c r="D25" s="821" t="s">
        <v>86</v>
      </c>
      <c r="E25" s="821"/>
      <c r="F25" s="822" t="s">
        <v>87</v>
      </c>
      <c r="G25" s="822"/>
      <c r="H25" s="823" t="s">
        <v>88</v>
      </c>
      <c r="I25" s="823"/>
      <c r="J25" s="823" t="s">
        <v>89</v>
      </c>
      <c r="K25" s="823"/>
      <c r="L25" s="820"/>
      <c r="M25" s="824" t="s">
        <v>66</v>
      </c>
      <c r="N25" s="824"/>
      <c r="O25" s="825" t="s">
        <v>90</v>
      </c>
      <c r="P25" s="826" t="s">
        <v>9</v>
      </c>
      <c r="Q25" s="827"/>
      <c r="R25" s="827"/>
      <c r="S25" s="828"/>
      <c r="T25" s="815"/>
      <c r="U25" s="816" t="s">
        <v>91</v>
      </c>
      <c r="V25" s="817"/>
      <c r="W25" s="818"/>
      <c r="X25" s="829"/>
      <c r="Z25" s="830"/>
      <c r="AA25" s="831"/>
      <c r="AB25" s="832"/>
      <c r="AC25" s="833"/>
      <c r="AD25" s="832"/>
      <c r="AE25" s="759"/>
      <c r="AF25" s="832"/>
      <c r="AG25" s="832"/>
      <c r="AH25" s="832"/>
      <c r="AI25" s="832"/>
      <c r="AJ25" s="832"/>
      <c r="AK25" s="719"/>
      <c r="AL25" s="788"/>
      <c r="AM25" s="787"/>
      <c r="AN25" s="696"/>
    </row>
    <row r="26" ht="29" customHeight="1" spans="1:47">
      <c r="B26" s="820" t="s">
        <v>92</v>
      </c>
      <c r="C26" s="820"/>
      <c r="D26" s="834">
        <f>D28+E28</f>
        <v>231980</v>
      </c>
      <c r="E26" s="834"/>
      <c r="F26" s="834">
        <f>F28+G28</f>
        <v>1210000</v>
      </c>
      <c r="G26" s="834"/>
      <c r="H26" s="834">
        <f>H28+I28</f>
        <v>0</v>
      </c>
      <c r="I26" s="834"/>
      <c r="J26" s="835">
        <f>J28+K28</f>
        <v>220000</v>
      </c>
      <c r="K26" s="836"/>
      <c r="L26" s="837"/>
      <c r="M26" s="834">
        <f>M28+N28</f>
        <v>6189246</v>
      </c>
      <c r="N26" s="834"/>
      <c r="O26" s="838">
        <f>O28</f>
        <v>2040000</v>
      </c>
      <c r="P26" s="838"/>
      <c r="Q26" s="838"/>
      <c r="R26" s="838"/>
      <c r="S26" s="839">
        <f>D26+F26+H26+J26+M26+O26</f>
        <v>9891226</v>
      </c>
      <c r="T26" s="840">
        <f>S26-G23</f>
        <v>9891226</v>
      </c>
      <c r="U26" s="841">
        <v>9891226</v>
      </c>
      <c r="V26" s="842">
        <f>T26-U26</f>
        <v>0</v>
      </c>
      <c r="W26" s="818"/>
      <c r="X26" s="819"/>
      <c r="Z26" s="830"/>
      <c r="AA26" s="831"/>
      <c r="AB26" s="832"/>
      <c r="AC26" s="833"/>
      <c r="AD26" s="832"/>
      <c r="AE26" s="832"/>
      <c r="AF26" s="832"/>
      <c r="AG26" s="832"/>
      <c r="AH26" s="832"/>
      <c r="AI26" s="832"/>
      <c r="AJ26" s="832"/>
      <c r="AK26" s="719"/>
      <c r="AL26" s="788"/>
      <c r="AM26" s="787"/>
      <c r="AN26" s="718"/>
    </row>
    <row r="27" ht="29" customHeight="1" spans="1:47">
      <c r="B27" s="820"/>
      <c r="C27" s="820"/>
      <c r="D27" s="834" t="s">
        <v>93</v>
      </c>
      <c r="E27" s="834" t="s">
        <v>94</v>
      </c>
      <c r="F27" s="834" t="s">
        <v>93</v>
      </c>
      <c r="G27" s="834" t="s">
        <v>94</v>
      </c>
      <c r="H27" s="834" t="s">
        <v>95</v>
      </c>
      <c r="I27" s="834"/>
      <c r="J27" s="838" t="s">
        <v>96</v>
      </c>
      <c r="K27" s="838" t="s">
        <v>97</v>
      </c>
      <c r="L27" s="834"/>
      <c r="M27" s="838" t="s">
        <v>96</v>
      </c>
      <c r="N27" s="838" t="s">
        <v>97</v>
      </c>
      <c r="O27" s="838" t="s">
        <v>95</v>
      </c>
      <c r="P27" s="838"/>
      <c r="Q27" s="838"/>
      <c r="R27" s="843"/>
      <c r="S27" s="839" t="s">
        <v>98</v>
      </c>
      <c r="T27" s="844"/>
      <c r="U27" s="816"/>
      <c r="V27" s="845"/>
      <c r="W27" s="818"/>
      <c r="X27" s="819"/>
      <c r="Z27" s="830"/>
      <c r="AA27" s="831"/>
      <c r="AB27" s="832"/>
      <c r="AC27" s="833"/>
      <c r="AD27" s="832"/>
      <c r="AE27" s="832"/>
      <c r="AF27" s="832"/>
      <c r="AG27" s="832"/>
      <c r="AH27" s="832"/>
      <c r="AI27" s="832"/>
      <c r="AJ27" s="832"/>
      <c r="AK27" s="719"/>
      <c r="AL27" s="788"/>
      <c r="AM27" s="718"/>
      <c r="AN27" s="718"/>
    </row>
    <row r="28" ht="29" customHeight="1" spans="1:47">
      <c r="B28" s="820" t="s">
        <v>99</v>
      </c>
      <c r="C28" s="846" t="s">
        <v>100</v>
      </c>
      <c r="D28" s="834">
        <f>'画堂春锦9#10#11#12#住宅'!R334</f>
        <v>231980</v>
      </c>
      <c r="E28" s="834">
        <f>'画堂春锦9#10#11#12#住宅'!R335</f>
        <v>0</v>
      </c>
      <c r="F28" s="834">
        <f>'画堂春锦苑1#2#3#5#7#楼住宅销售明细表'!R443</f>
        <v>1210000</v>
      </c>
      <c r="G28" s="834">
        <f>'画堂春锦苑1#2#3#5#7#楼住宅销售明细表'!R444</f>
        <v>0</v>
      </c>
      <c r="H28" s="834">
        <f>'画堂春锦13#14#15#17#18# 商铺'!T155</f>
        <v>0</v>
      </c>
      <c r="I28" s="834"/>
      <c r="J28" s="834">
        <f>'画堂春锦苑8#楼明细表'!R94</f>
        <v>220000</v>
      </c>
      <c r="K28" s="834">
        <f>'画堂春锦苑8#楼明细表'!R95</f>
        <v>0</v>
      </c>
      <c r="L28" s="847"/>
      <c r="M28" s="834">
        <f>'画堂春锦苑住宅4#6#'!S170</f>
        <v>4203008</v>
      </c>
      <c r="N28" s="834">
        <f>'画堂春锦苑住宅4#6#'!S171</f>
        <v>1986238</v>
      </c>
      <c r="O28" s="834">
        <f>'画堂春锦苑商业16#19#'!R68</f>
        <v>2040000</v>
      </c>
      <c r="P28" s="839"/>
      <c r="Q28" s="834"/>
      <c r="R28" s="839"/>
      <c r="S28" s="848">
        <f>SUM(D28:R28)</f>
        <v>9891226</v>
      </c>
      <c r="T28" s="849"/>
      <c r="U28" s="841"/>
      <c r="V28" s="817"/>
      <c r="W28" s="818"/>
      <c r="X28" s="829"/>
      <c r="Z28" s="830"/>
      <c r="AA28" s="831"/>
      <c r="AB28" s="832"/>
      <c r="AC28" s="833"/>
      <c r="AD28" s="832"/>
      <c r="AE28" s="832"/>
      <c r="AF28" s="832"/>
      <c r="AG28" s="832"/>
      <c r="AH28" s="832"/>
      <c r="AI28" s="832"/>
      <c r="AJ28" s="832"/>
      <c r="AK28" s="719"/>
      <c r="AL28" s="788"/>
      <c r="AM28" s="718"/>
      <c r="AN28" s="718"/>
    </row>
    <row r="29" ht="29" customHeight="1" spans="1:47">
      <c r="B29" s="820" t="s">
        <v>101</v>
      </c>
      <c r="C29" s="846">
        <v>0.03</v>
      </c>
      <c r="D29" s="834"/>
      <c r="E29" s="834"/>
      <c r="F29" s="834"/>
      <c r="G29" s="834"/>
      <c r="H29" s="834"/>
      <c r="I29" s="834"/>
      <c r="J29" s="834"/>
      <c r="K29" s="834"/>
      <c r="L29" s="834"/>
      <c r="M29" s="834">
        <f>M26/1.09*C29</f>
        <v>170346.220183486</v>
      </c>
      <c r="N29" s="834"/>
      <c r="O29" s="834">
        <f>O28/1.09*C29</f>
        <v>56146.7889908257</v>
      </c>
      <c r="P29" s="834"/>
      <c r="Q29" s="834"/>
      <c r="R29" s="843"/>
      <c r="S29" s="850">
        <f>ROUND(D29+F29+H29+J29+M29+O29,2)</f>
        <v>226493.01</v>
      </c>
      <c r="T29" s="851" t="s">
        <v>102</v>
      </c>
      <c r="U29" s="841"/>
      <c r="V29" s="817"/>
      <c r="W29" s="818"/>
      <c r="X29" s="819"/>
      <c r="Z29" s="830"/>
      <c r="AA29" s="831"/>
      <c r="AB29" s="832"/>
      <c r="AC29" s="833"/>
      <c r="AD29" s="832"/>
      <c r="AE29" s="832"/>
      <c r="AF29" s="832"/>
      <c r="AG29" s="832"/>
      <c r="AH29" s="832"/>
      <c r="AI29" s="832"/>
      <c r="AJ29" s="852"/>
      <c r="AK29" s="719"/>
      <c r="AL29" s="788"/>
      <c r="AM29" s="787"/>
      <c r="AN29" s="718"/>
    </row>
    <row r="30" ht="29" customHeight="1" spans="1:47">
      <c r="B30" s="820" t="s">
        <v>103</v>
      </c>
      <c r="C30" s="846">
        <v>0.07</v>
      </c>
      <c r="D30" s="834">
        <f>D29*A30</f>
        <v>0</v>
      </c>
      <c r="E30" s="834"/>
      <c r="F30" s="834">
        <f>F29*C30</f>
        <v>0</v>
      </c>
      <c r="G30" s="834"/>
      <c r="H30" s="834">
        <f>H29*C30</f>
        <v>0</v>
      </c>
      <c r="I30" s="834"/>
      <c r="J30" s="835">
        <f>J29*C30</f>
        <v>0</v>
      </c>
      <c r="K30" s="836"/>
      <c r="L30" s="853"/>
      <c r="M30" s="854">
        <f>M29*C30</f>
        <v>11924.235412844</v>
      </c>
      <c r="N30" s="854"/>
      <c r="O30" s="834">
        <f>O29*C30</f>
        <v>3930.2752293578</v>
      </c>
      <c r="P30" s="834"/>
      <c r="Q30" s="834"/>
      <c r="R30" s="843"/>
      <c r="S30" s="850">
        <f>ROUND(D30+F30+H30+J30+M30+O30,2)</f>
        <v>15854.51</v>
      </c>
      <c r="T30" s="851" t="s">
        <v>102</v>
      </c>
      <c r="U30" s="855"/>
      <c r="V30" s="817"/>
      <c r="W30" s="856"/>
      <c r="X30" s="819"/>
      <c r="Z30" s="830"/>
      <c r="AA30" s="857"/>
      <c r="AB30" s="832"/>
      <c r="AC30" s="833"/>
      <c r="AD30" s="852"/>
      <c r="AE30" s="718"/>
      <c r="AG30" s="858"/>
      <c r="AH30" s="832"/>
      <c r="AI30" s="832"/>
      <c r="AJ30" s="832"/>
      <c r="AK30" s="719"/>
      <c r="AL30" s="718"/>
      <c r="AM30" s="787"/>
      <c r="AN30" s="718"/>
    </row>
    <row r="31" ht="29" customHeight="1" spans="1:47">
      <c r="B31" s="820" t="s">
        <v>104</v>
      </c>
      <c r="C31" s="846">
        <v>0.03</v>
      </c>
      <c r="D31" s="834">
        <f>D29*C31</f>
        <v>0</v>
      </c>
      <c r="E31" s="834"/>
      <c r="F31" s="834">
        <f>F29*C31</f>
        <v>0</v>
      </c>
      <c r="G31" s="834"/>
      <c r="H31" s="834">
        <f>H29*C31</f>
        <v>0</v>
      </c>
      <c r="I31" s="834"/>
      <c r="J31" s="835">
        <f>J29*C31</f>
        <v>0</v>
      </c>
      <c r="K31" s="836"/>
      <c r="L31" s="853"/>
      <c r="M31" s="854">
        <f>M29*C31</f>
        <v>5110.38660550459</v>
      </c>
      <c r="N31" s="854"/>
      <c r="O31" s="834">
        <f>O29*C31</f>
        <v>1684.40366972477</v>
      </c>
      <c r="P31" s="834"/>
      <c r="Q31" s="834"/>
      <c r="R31" s="843"/>
      <c r="S31" s="850">
        <f>ROUND(D31+F31+H31+J31+M31+O31,2)</f>
        <v>6794.79</v>
      </c>
      <c r="T31" s="851" t="s">
        <v>102</v>
      </c>
      <c r="U31" s="856"/>
      <c r="V31" s="856"/>
      <c r="W31" s="856"/>
      <c r="X31" s="17"/>
      <c r="Z31" s="830"/>
      <c r="AA31" s="857"/>
      <c r="AB31" s="832"/>
      <c r="AC31" s="833"/>
      <c r="AD31" s="832"/>
      <c r="AE31" s="718"/>
      <c r="AG31" s="859"/>
      <c r="AH31" s="832"/>
      <c r="AI31" s="832"/>
      <c r="AJ31" s="832"/>
      <c r="AK31" s="719"/>
      <c r="AL31" s="718"/>
      <c r="AM31" s="787"/>
      <c r="AN31" s="718"/>
    </row>
    <row r="32" ht="29" customHeight="1" spans="1:47">
      <c r="B32" s="820" t="s">
        <v>105</v>
      </c>
      <c r="C32" s="846">
        <v>0.02</v>
      </c>
      <c r="D32" s="834">
        <f>D29*C32</f>
        <v>0</v>
      </c>
      <c r="E32" s="834"/>
      <c r="F32" s="834">
        <f>F29*C32</f>
        <v>0</v>
      </c>
      <c r="G32" s="834"/>
      <c r="H32" s="834">
        <f>H29*C32</f>
        <v>0</v>
      </c>
      <c r="I32" s="834"/>
      <c r="J32" s="835">
        <f>J29*C32</f>
        <v>0</v>
      </c>
      <c r="K32" s="836"/>
      <c r="L32" s="853"/>
      <c r="M32" s="854">
        <f>M29*C32</f>
        <v>3406.92440366972</v>
      </c>
      <c r="N32" s="854"/>
      <c r="O32" s="834">
        <f>O29*C32</f>
        <v>1122.93577981651</v>
      </c>
      <c r="P32" s="834"/>
      <c r="Q32" s="834"/>
      <c r="R32" s="843"/>
      <c r="S32" s="850">
        <f>ROUND(D32+F32+H32+J32+M32+O32,2)</f>
        <v>4529.86</v>
      </c>
      <c r="T32" s="851" t="s">
        <v>102</v>
      </c>
      <c r="U32" s="860"/>
      <c r="V32" s="861"/>
      <c r="W32" s="17"/>
      <c r="X32" s="862"/>
      <c r="Z32" s="830"/>
      <c r="AA32" s="857"/>
      <c r="AB32" s="832"/>
      <c r="AC32" s="833"/>
      <c r="AD32" s="852"/>
      <c r="AE32" s="718"/>
      <c r="AG32" s="859"/>
      <c r="AH32" s="832"/>
      <c r="AI32" s="832"/>
      <c r="AJ32" s="832"/>
      <c r="AK32" s="719"/>
      <c r="AL32" s="863"/>
      <c r="AM32" s="787"/>
      <c r="AN32" s="696"/>
    </row>
    <row r="33" ht="29" customHeight="1" spans="2:47">
      <c r="B33" s="820" t="s">
        <v>106</v>
      </c>
      <c r="C33" s="846">
        <v>0.03</v>
      </c>
      <c r="D33" s="834">
        <f>E28/1.09*C33</f>
        <v>0</v>
      </c>
      <c r="E33" s="834"/>
      <c r="F33" s="834">
        <f>G28/1.09*C33</f>
        <v>0</v>
      </c>
      <c r="G33" s="834"/>
      <c r="H33" s="834">
        <f>H26/1.09*C33</f>
        <v>0</v>
      </c>
      <c r="I33" s="834"/>
      <c r="J33" s="835">
        <f>K28/1.09*C33</f>
        <v>0</v>
      </c>
      <c r="K33" s="836"/>
      <c r="L33" s="834"/>
      <c r="M33" s="854">
        <f>N28/1.09*C33</f>
        <v>54667.1009174312</v>
      </c>
      <c r="N33" s="854"/>
      <c r="O33" s="834">
        <f>O28/1.09*C33</f>
        <v>56146.7889908257</v>
      </c>
      <c r="P33" s="834"/>
      <c r="Q33" s="834"/>
      <c r="R33" s="843"/>
      <c r="S33" s="848">
        <f>ROUND(D33+F33+H33+J33+M33+O33+L33,2)</f>
        <v>110813.89</v>
      </c>
      <c r="T33" s="864" t="s">
        <v>107</v>
      </c>
      <c r="U33" s="860"/>
      <c r="V33" s="861"/>
      <c r="W33" s="17"/>
      <c r="X33" s="662"/>
      <c r="Z33" s="830"/>
      <c r="AA33" s="865"/>
      <c r="AB33" s="759"/>
      <c r="AC33" s="759"/>
      <c r="AD33" s="759"/>
      <c r="AE33" s="718"/>
      <c r="AG33" s="866"/>
      <c r="AH33" s="759"/>
      <c r="AI33" s="759"/>
      <c r="AJ33" s="759"/>
      <c r="AK33" s="719"/>
      <c r="AL33" s="863"/>
      <c r="AM33" s="787"/>
      <c r="AN33" s="696"/>
    </row>
    <row r="34" ht="29" customHeight="1" spans="2:47">
      <c r="B34" s="820" t="s">
        <v>106</v>
      </c>
      <c r="C34" s="846">
        <v>0.01</v>
      </c>
      <c r="D34" s="834">
        <f>D28/1.09*C34</f>
        <v>2128.25688073394</v>
      </c>
      <c r="E34" s="834"/>
      <c r="F34" s="834">
        <f>F28/1.09*C34</f>
        <v>11100.9174311927</v>
      </c>
      <c r="G34" s="834"/>
      <c r="H34" s="834"/>
      <c r="I34" s="834"/>
      <c r="J34" s="834">
        <f>J28/1.09*C34</f>
        <v>2018.34862385321</v>
      </c>
      <c r="K34" s="834"/>
      <c r="L34" s="853"/>
      <c r="M34" s="854">
        <f>M28/1.09*0.01</f>
        <v>38559.7064220183</v>
      </c>
      <c r="N34" s="854"/>
      <c r="O34" s="834"/>
      <c r="P34" s="834"/>
      <c r="Q34" s="834"/>
      <c r="R34" s="843"/>
      <c r="S34" s="848">
        <f>ROUND(D34+F34+H34+J34+M34+O34+L34,2)</f>
        <v>53807.23</v>
      </c>
      <c r="T34" s="864" t="s">
        <v>107</v>
      </c>
      <c r="U34" s="867"/>
      <c r="V34" s="868"/>
      <c r="W34" s="17"/>
      <c r="X34" s="864"/>
      <c r="Z34" s="830"/>
      <c r="AA34" s="865"/>
      <c r="AB34" s="759"/>
      <c r="AC34" s="759"/>
      <c r="AD34" s="759"/>
      <c r="AE34" s="718"/>
      <c r="AG34" s="869"/>
      <c r="AH34" s="759"/>
      <c r="AI34" s="759"/>
      <c r="AJ34" s="759"/>
      <c r="AK34" s="719"/>
      <c r="AL34" s="863"/>
      <c r="AM34" s="787"/>
      <c r="AN34" s="718"/>
    </row>
    <row r="35" ht="29" customHeight="1" spans="2:47">
      <c r="B35" s="820" t="s">
        <v>108</v>
      </c>
      <c r="C35" s="870">
        <v>0.0005</v>
      </c>
      <c r="D35" s="834"/>
      <c r="E35" s="834"/>
      <c r="F35" s="834"/>
      <c r="G35" s="834"/>
      <c r="H35" s="834"/>
      <c r="I35" s="834"/>
      <c r="J35" s="834"/>
      <c r="K35" s="834"/>
      <c r="L35" s="853"/>
      <c r="M35" s="834"/>
      <c r="N35" s="834"/>
      <c r="O35" s="834"/>
      <c r="P35" s="843"/>
      <c r="Q35" s="834"/>
      <c r="R35" s="843"/>
      <c r="S35" s="848">
        <v>13386.31</v>
      </c>
      <c r="T35" s="864" t="s">
        <v>107</v>
      </c>
      <c r="U35" s="662"/>
      <c r="V35" s="662"/>
      <c r="W35" s="17"/>
      <c r="X35" s="864"/>
      <c r="Z35" s="830"/>
      <c r="AA35" s="865"/>
      <c r="AB35" s="759"/>
      <c r="AC35" s="759"/>
      <c r="AD35" s="759"/>
      <c r="AE35" s="718"/>
      <c r="AG35" s="869"/>
      <c r="AH35" s="759"/>
      <c r="AI35" s="759"/>
      <c r="AJ35" s="759"/>
      <c r="AK35" s="719"/>
      <c r="AL35" s="863"/>
      <c r="AM35" s="787"/>
      <c r="AN35" s="718"/>
    </row>
    <row r="36" ht="29" customHeight="1" spans="2:47">
      <c r="B36" s="820" t="s">
        <v>109</v>
      </c>
      <c r="C36" s="871"/>
      <c r="D36" s="835">
        <v>993685.33</v>
      </c>
      <c r="E36" s="836"/>
      <c r="F36" s="834"/>
      <c r="G36" s="834"/>
      <c r="H36" s="834"/>
      <c r="I36" s="834"/>
      <c r="J36" s="834"/>
      <c r="K36" s="834"/>
      <c r="L36" s="853"/>
      <c r="M36" s="834"/>
      <c r="N36" s="834"/>
      <c r="O36" s="834"/>
      <c r="P36" s="843"/>
      <c r="Q36" s="834"/>
      <c r="R36" s="843"/>
      <c r="S36" s="848">
        <f>D36</f>
        <v>993685.33</v>
      </c>
      <c r="T36" s="864"/>
      <c r="U36" s="662"/>
      <c r="V36" s="662"/>
      <c r="W36" s="17"/>
      <c r="X36" s="864"/>
      <c r="Z36" s="830"/>
      <c r="AA36" s="865"/>
      <c r="AB36" s="759"/>
      <c r="AC36" s="759"/>
      <c r="AD36" s="697"/>
      <c r="AE36" s="718"/>
      <c r="AG36" s="869"/>
      <c r="AH36" s="759"/>
      <c r="AI36" s="759"/>
      <c r="AJ36" s="759"/>
      <c r="AK36" s="719"/>
      <c r="AL36" s="863"/>
      <c r="AM36" s="787"/>
      <c r="AN36" s="718"/>
    </row>
    <row r="37" ht="29" customHeight="1" spans="2:47">
      <c r="B37" s="820" t="s">
        <v>110</v>
      </c>
      <c r="C37" s="872"/>
      <c r="D37" s="873">
        <v>3912.34</v>
      </c>
      <c r="E37" s="873"/>
      <c r="F37" s="874"/>
      <c r="G37" s="874"/>
      <c r="H37" s="874"/>
      <c r="I37" s="874"/>
      <c r="J37" s="874"/>
      <c r="K37" s="874"/>
      <c r="L37" s="874"/>
      <c r="M37" s="874"/>
      <c r="N37" s="874"/>
      <c r="O37" s="874"/>
      <c r="P37" s="874"/>
      <c r="Q37" s="874"/>
      <c r="R37" s="874"/>
      <c r="S37" s="874">
        <f>D37</f>
        <v>3912.34</v>
      </c>
      <c r="T37" s="864"/>
      <c r="U37" s="662"/>
      <c r="V37" s="662"/>
      <c r="W37" s="17"/>
      <c r="X37" s="864"/>
      <c r="Z37" s="830"/>
      <c r="AA37" s="865"/>
      <c r="AB37" s="759"/>
      <c r="AC37" s="759"/>
      <c r="AD37" s="759"/>
      <c r="AE37" s="718"/>
      <c r="AG37" s="866"/>
      <c r="AH37" s="759"/>
      <c r="AI37" s="759"/>
      <c r="AJ37" s="759"/>
      <c r="AK37" s="719"/>
      <c r="AL37" s="863"/>
      <c r="AM37" s="787"/>
      <c r="AN37" s="696"/>
    </row>
    <row r="38" customFormat="1" ht="29" customHeight="1" spans="2:47">
      <c r="B38" s="820"/>
      <c r="C38" s="872"/>
      <c r="D38" s="875">
        <f>AL9</f>
        <v>0</v>
      </c>
      <c r="E38" s="876"/>
      <c r="F38" s="874"/>
      <c r="G38" s="874"/>
      <c r="H38" s="874"/>
      <c r="I38" s="874"/>
      <c r="J38" s="874"/>
      <c r="K38" s="874"/>
      <c r="L38" s="874"/>
      <c r="M38" s="874"/>
      <c r="N38" s="874"/>
      <c r="O38" s="874"/>
      <c r="P38" s="874"/>
      <c r="Q38" s="877"/>
      <c r="R38" s="874"/>
      <c r="S38" s="874">
        <f>Q38</f>
        <v>0</v>
      </c>
      <c r="T38" s="864"/>
      <c r="U38" s="662"/>
      <c r="V38" s="662"/>
      <c r="W38" s="17"/>
      <c r="X38" s="864"/>
      <c r="Y38" s="17"/>
      <c r="Z38" s="830"/>
      <c r="AA38" s="865"/>
      <c r="AB38" s="759"/>
      <c r="AC38" s="759"/>
      <c r="AD38" s="759"/>
      <c r="AE38" s="718"/>
      <c r="AF38" s="17"/>
      <c r="AG38" s="759"/>
      <c r="AH38" s="759"/>
      <c r="AI38" s="759"/>
      <c r="AJ38" s="759"/>
      <c r="AK38" s="719"/>
      <c r="AL38" s="863"/>
      <c r="AM38" s="787"/>
      <c r="AN38" s="696"/>
      <c r="AO38" s="17"/>
      <c r="AP38" s="17"/>
      <c r="AQ38" s="17"/>
      <c r="AR38" s="17"/>
      <c r="AS38" s="17"/>
      <c r="AT38" s="17"/>
      <c r="AU38" s="17"/>
    </row>
    <row r="39" s="196" customFormat="1" ht="29" customHeight="1" spans="2:47">
      <c r="B39" s="878" t="s">
        <v>111</v>
      </c>
      <c r="C39" s="879" t="s">
        <v>112</v>
      </c>
      <c r="D39" s="873">
        <v>8574.53</v>
      </c>
      <c r="E39" s="873"/>
      <c r="F39" s="873"/>
      <c r="G39" s="873"/>
      <c r="H39" s="873"/>
      <c r="I39" s="873"/>
      <c r="J39" s="873"/>
      <c r="K39" s="873"/>
      <c r="L39" s="873"/>
      <c r="M39" s="873"/>
      <c r="N39" s="873"/>
      <c r="O39" s="848"/>
      <c r="P39" s="843"/>
      <c r="Q39" s="880"/>
      <c r="R39" s="881"/>
      <c r="S39" s="874">
        <f>D39</f>
        <v>8574.53</v>
      </c>
      <c r="T39" s="864" t="s">
        <v>107</v>
      </c>
      <c r="U39" s="488"/>
      <c r="V39" s="488"/>
      <c r="W39" s="488"/>
      <c r="X39" s="882"/>
      <c r="Y39" s="488"/>
      <c r="Z39" s="830"/>
      <c r="AA39" s="865"/>
      <c r="AB39" s="759"/>
      <c r="AC39" s="759"/>
      <c r="AD39" s="759"/>
      <c r="AE39" s="718"/>
      <c r="AF39" s="488"/>
      <c r="AG39" s="759"/>
      <c r="AH39" s="759"/>
      <c r="AI39" s="759"/>
      <c r="AJ39" s="759"/>
      <c r="AK39" s="719"/>
      <c r="AL39" s="863"/>
      <c r="AM39" s="787"/>
      <c r="AN39" s="718"/>
      <c r="AO39" s="488"/>
      <c r="AP39" s="488"/>
      <c r="AQ39" s="488"/>
      <c r="AR39" s="488"/>
      <c r="AS39" s="488"/>
      <c r="AT39" s="488"/>
      <c r="AU39" s="488"/>
    </row>
    <row r="40" s="196" customFormat="1" ht="29" customHeight="1" spans="2:47">
      <c r="B40" s="878"/>
      <c r="C40" s="879" t="s">
        <v>113</v>
      </c>
      <c r="D40" s="873">
        <v>0</v>
      </c>
      <c r="E40" s="873"/>
      <c r="F40" s="873"/>
      <c r="G40" s="873"/>
      <c r="H40" s="873"/>
      <c r="I40" s="873"/>
      <c r="J40" s="873"/>
      <c r="K40" s="873"/>
      <c r="L40" s="873"/>
      <c r="M40" s="873"/>
      <c r="N40" s="873"/>
      <c r="O40" s="848"/>
      <c r="P40" s="843"/>
      <c r="Q40" s="880"/>
      <c r="R40" s="881"/>
      <c r="S40" s="848">
        <f>D40+F40+H40+J40+M40+O40</f>
        <v>0</v>
      </c>
      <c r="T40" s="882"/>
      <c r="U40" s="488"/>
      <c r="V40" s="488"/>
      <c r="W40" s="488"/>
      <c r="X40" s="882"/>
      <c r="Y40" s="488"/>
      <c r="Z40" s="830"/>
      <c r="AA40" s="865"/>
      <c r="AB40" s="759"/>
      <c r="AC40" s="759"/>
      <c r="AD40" s="759"/>
      <c r="AE40" s="696"/>
      <c r="AF40" s="488"/>
      <c r="AG40" s="759"/>
      <c r="AH40" s="759"/>
      <c r="AI40" s="759"/>
      <c r="AJ40" s="759"/>
      <c r="AK40" s="719"/>
      <c r="AL40" s="863"/>
      <c r="AM40" s="787"/>
      <c r="AN40" s="718"/>
      <c r="AO40" s="488"/>
      <c r="AP40" s="488"/>
      <c r="AQ40" s="488"/>
      <c r="AR40" s="488"/>
      <c r="AS40" s="488"/>
      <c r="AT40" s="488"/>
      <c r="AU40" s="488"/>
    </row>
    <row r="41" s="196" customFormat="1" ht="29" customHeight="1" spans="2:47">
      <c r="B41" s="878" t="s">
        <v>114</v>
      </c>
      <c r="C41" s="846">
        <v>0.09</v>
      </c>
      <c r="D41" s="873"/>
      <c r="E41" s="873"/>
      <c r="F41" s="883"/>
      <c r="G41" s="884"/>
      <c r="H41" s="873"/>
      <c r="I41" s="873"/>
      <c r="J41" s="883"/>
      <c r="K41" s="884"/>
      <c r="L41" s="873"/>
      <c r="M41" s="873"/>
      <c r="N41" s="873"/>
      <c r="O41" s="848"/>
      <c r="P41" s="843"/>
      <c r="Q41" s="880"/>
      <c r="R41" s="881"/>
      <c r="S41" s="874">
        <v>0</v>
      </c>
      <c r="T41" s="882"/>
      <c r="U41" s="488"/>
      <c r="V41" s="488"/>
      <c r="W41" s="488"/>
      <c r="X41" s="882"/>
      <c r="Y41" s="488"/>
      <c r="Z41" s="830"/>
      <c r="AA41" s="865"/>
      <c r="AB41" s="759"/>
      <c r="AC41" s="759"/>
      <c r="AD41" s="759"/>
      <c r="AE41" s="696"/>
      <c r="AF41" s="488"/>
      <c r="AG41" s="759"/>
      <c r="AH41" s="759"/>
      <c r="AI41" s="759"/>
      <c r="AJ41" s="759"/>
      <c r="AK41" s="719"/>
      <c r="AL41" s="863"/>
      <c r="AM41" s="787"/>
      <c r="AN41" s="718"/>
      <c r="AO41" s="488"/>
      <c r="AP41" s="488"/>
      <c r="AQ41" s="488"/>
      <c r="AR41" s="488"/>
      <c r="AS41" s="488"/>
      <c r="AT41" s="488"/>
      <c r="AU41" s="488"/>
    </row>
    <row r="42" s="196" customFormat="1" ht="29" customHeight="1" spans="2:47">
      <c r="B42" s="820" t="s">
        <v>103</v>
      </c>
      <c r="C42" s="846">
        <v>0.07</v>
      </c>
      <c r="D42" s="875">
        <f>S41</f>
        <v>0</v>
      </c>
      <c r="E42" s="885"/>
      <c r="F42" s="885"/>
      <c r="G42" s="885"/>
      <c r="H42" s="885"/>
      <c r="I42" s="885"/>
      <c r="J42" s="885"/>
      <c r="K42" s="885"/>
      <c r="L42" s="885"/>
      <c r="M42" s="885"/>
      <c r="N42" s="885"/>
      <c r="O42" s="885"/>
      <c r="P42" s="885"/>
      <c r="Q42" s="885"/>
      <c r="R42" s="876"/>
      <c r="S42" s="848">
        <f>ROUND(D42*C42,2)</f>
        <v>0</v>
      </c>
      <c r="T42" s="882"/>
      <c r="U42" s="488"/>
      <c r="V42" s="488"/>
      <c r="W42" s="488"/>
      <c r="X42" s="882"/>
      <c r="Y42" s="488"/>
      <c r="Z42" s="830"/>
      <c r="AA42" s="865"/>
      <c r="AB42" s="759"/>
      <c r="AC42" s="759"/>
      <c r="AD42" s="759"/>
      <c r="AE42" s="696"/>
      <c r="AF42" s="488"/>
      <c r="AG42" s="759"/>
      <c r="AH42" s="759"/>
      <c r="AI42" s="759"/>
      <c r="AJ42" s="759"/>
      <c r="AK42" s="719"/>
      <c r="AL42" s="863"/>
      <c r="AM42" s="787"/>
      <c r="AN42" s="718"/>
      <c r="AO42" s="488"/>
      <c r="AP42" s="488"/>
      <c r="AQ42" s="488"/>
      <c r="AR42" s="488"/>
      <c r="AS42" s="488"/>
      <c r="AT42" s="488"/>
      <c r="AU42" s="488"/>
    </row>
    <row r="43" s="196" customFormat="1" ht="29" customHeight="1" spans="2:47">
      <c r="B43" s="820" t="s">
        <v>104</v>
      </c>
      <c r="C43" s="846">
        <v>0.03</v>
      </c>
      <c r="D43" s="875">
        <f>S41</f>
        <v>0</v>
      </c>
      <c r="E43" s="885"/>
      <c r="F43" s="885"/>
      <c r="G43" s="885"/>
      <c r="H43" s="885"/>
      <c r="I43" s="885"/>
      <c r="J43" s="885"/>
      <c r="K43" s="885"/>
      <c r="L43" s="885"/>
      <c r="M43" s="885"/>
      <c r="N43" s="885"/>
      <c r="O43" s="885"/>
      <c r="P43" s="885"/>
      <c r="Q43" s="885"/>
      <c r="R43" s="876"/>
      <c r="S43" s="848">
        <f>ROUND(D43*C43,2)</f>
        <v>0</v>
      </c>
      <c r="T43" s="882"/>
      <c r="U43" s="488"/>
      <c r="V43" s="488"/>
      <c r="W43" s="488"/>
      <c r="X43" s="882"/>
      <c r="Y43" s="488"/>
      <c r="Z43" s="830"/>
      <c r="AA43" s="865"/>
      <c r="AB43" s="759"/>
      <c r="AC43" s="759"/>
      <c r="AD43" s="759"/>
      <c r="AE43" s="696"/>
      <c r="AF43" s="488"/>
      <c r="AG43" s="759"/>
      <c r="AH43" s="759"/>
      <c r="AI43" s="759"/>
      <c r="AJ43" s="759"/>
      <c r="AK43" s="719"/>
      <c r="AL43" s="863"/>
      <c r="AM43" s="787"/>
      <c r="AN43" s="718"/>
      <c r="AO43" s="488"/>
      <c r="AP43" s="488"/>
      <c r="AQ43" s="488"/>
      <c r="AR43" s="488"/>
      <c r="AS43" s="488"/>
      <c r="AT43" s="488"/>
      <c r="AU43" s="488"/>
    </row>
    <row r="44" s="196" customFormat="1" ht="29" customHeight="1" spans="2:47">
      <c r="B44" s="820" t="s">
        <v>105</v>
      </c>
      <c r="C44" s="846">
        <v>0.02</v>
      </c>
      <c r="D44" s="875">
        <f>S41</f>
        <v>0</v>
      </c>
      <c r="E44" s="885"/>
      <c r="F44" s="885"/>
      <c r="G44" s="885"/>
      <c r="H44" s="885"/>
      <c r="I44" s="885"/>
      <c r="J44" s="885"/>
      <c r="K44" s="885"/>
      <c r="L44" s="885"/>
      <c r="M44" s="885"/>
      <c r="N44" s="885"/>
      <c r="O44" s="885"/>
      <c r="P44" s="885"/>
      <c r="Q44" s="885"/>
      <c r="R44" s="876"/>
      <c r="S44" s="848">
        <f>ROUND(D44*C44,2)</f>
        <v>0</v>
      </c>
      <c r="T44" s="882"/>
      <c r="U44" s="488"/>
      <c r="V44" s="488"/>
      <c r="W44" s="488"/>
      <c r="X44" s="882"/>
      <c r="Y44" s="488"/>
      <c r="Z44" s="830"/>
      <c r="AA44" s="865"/>
      <c r="AB44" s="759"/>
      <c r="AC44" s="759"/>
      <c r="AD44" s="759"/>
      <c r="AE44" s="696"/>
      <c r="AF44" s="488"/>
      <c r="AG44" s="759"/>
      <c r="AH44" s="759"/>
      <c r="AI44" s="759"/>
      <c r="AJ44" s="759"/>
      <c r="AK44" s="719"/>
      <c r="AL44" s="863"/>
      <c r="AM44" s="787"/>
      <c r="AN44" s="718"/>
      <c r="AO44" s="488"/>
      <c r="AP44" s="488"/>
      <c r="AQ44" s="488"/>
      <c r="AR44" s="488"/>
      <c r="AS44" s="488"/>
      <c r="AT44" s="488"/>
      <c r="AU44" s="488"/>
    </row>
    <row r="45" s="196" customFormat="1" ht="29" customHeight="1" spans="2:47">
      <c r="B45" s="820" t="s">
        <v>115</v>
      </c>
      <c r="C45" s="846">
        <v>11</v>
      </c>
      <c r="D45" s="886"/>
      <c r="E45" s="887"/>
      <c r="F45" s="887"/>
      <c r="G45" s="887"/>
      <c r="H45" s="887"/>
      <c r="I45" s="887"/>
      <c r="J45" s="887"/>
      <c r="K45" s="887"/>
      <c r="L45" s="887"/>
      <c r="M45" s="887"/>
      <c r="N45" s="887"/>
      <c r="O45" s="887"/>
      <c r="P45" s="887"/>
      <c r="Q45" s="887"/>
      <c r="R45" s="887"/>
      <c r="S45" s="848">
        <v>97476.61</v>
      </c>
      <c r="T45" s="864" t="s">
        <v>107</v>
      </c>
      <c r="U45" s="488"/>
      <c r="V45" s="488"/>
      <c r="W45" s="488"/>
      <c r="X45" s="882"/>
      <c r="Y45" s="488"/>
      <c r="Z45" s="830"/>
      <c r="AA45" s="865"/>
      <c r="AB45" s="759"/>
      <c r="AC45" s="759"/>
      <c r="AD45" s="759"/>
      <c r="AE45" s="696"/>
      <c r="AF45" s="488"/>
      <c r="AG45" s="759"/>
      <c r="AH45" s="759"/>
      <c r="AI45" s="759"/>
      <c r="AJ45" s="759"/>
      <c r="AK45" s="719"/>
      <c r="AL45" s="863"/>
      <c r="AM45" s="787"/>
      <c r="AN45" s="718"/>
      <c r="AO45" s="488"/>
      <c r="AP45" s="488"/>
      <c r="AQ45" s="488"/>
      <c r="AR45" s="488"/>
      <c r="AS45" s="488"/>
      <c r="AT45" s="488"/>
      <c r="AU45" s="488"/>
    </row>
    <row r="46" ht="29" customHeight="1" spans="2:47">
      <c r="B46" s="820" t="s">
        <v>116</v>
      </c>
      <c r="C46" s="886">
        <v>13386.31</v>
      </c>
      <c r="D46" s="887"/>
      <c r="E46" s="887"/>
      <c r="F46" s="887"/>
      <c r="G46" s="887"/>
      <c r="H46" s="887"/>
      <c r="I46" s="887"/>
      <c r="J46" s="887"/>
      <c r="K46" s="887"/>
      <c r="L46" s="887"/>
      <c r="M46" s="887"/>
      <c r="N46" s="887"/>
      <c r="O46" s="887"/>
      <c r="P46" s="887"/>
      <c r="Q46" s="887"/>
      <c r="R46" s="888"/>
      <c r="S46" s="848">
        <v>13386.31</v>
      </c>
      <c r="T46" s="864"/>
      <c r="U46" s="662"/>
      <c r="V46" s="662"/>
      <c r="W46" s="17"/>
      <c r="X46" s="864"/>
      <c r="Z46" s="830"/>
      <c r="AA46" s="865"/>
      <c r="AB46" s="759"/>
      <c r="AC46" s="759"/>
      <c r="AD46" s="697"/>
      <c r="AE46" s="718"/>
      <c r="AG46" s="759"/>
      <c r="AH46" s="759"/>
      <c r="AI46" s="759"/>
      <c r="AJ46" s="759"/>
      <c r="AK46" s="719"/>
      <c r="AL46" s="863"/>
      <c r="AM46" s="787"/>
      <c r="AN46" s="718"/>
    </row>
    <row r="47" ht="36" customHeight="1" spans="2:47">
      <c r="B47" s="889" t="s">
        <v>10</v>
      </c>
      <c r="C47" s="890"/>
      <c r="D47" s="890"/>
      <c r="E47" s="890"/>
      <c r="F47" s="890"/>
      <c r="G47" s="890"/>
      <c r="H47" s="890"/>
      <c r="I47" s="890"/>
      <c r="J47" s="890"/>
      <c r="K47" s="890"/>
      <c r="L47" s="890"/>
      <c r="M47" s="890"/>
      <c r="N47" s="890"/>
      <c r="O47" s="890"/>
      <c r="P47" s="890"/>
      <c r="Q47" s="890"/>
      <c r="R47" s="891"/>
      <c r="S47" s="881">
        <f>SUM(S29:S46)</f>
        <v>1548714.72</v>
      </c>
      <c r="T47" s="864"/>
      <c r="U47" s="892"/>
      <c r="V47" s="861"/>
      <c r="W47" s="17"/>
      <c r="X47" s="864"/>
      <c r="Z47" s="830"/>
      <c r="AA47" s="865"/>
      <c r="AB47" s="759"/>
      <c r="AC47" s="759"/>
      <c r="AD47" s="759"/>
      <c r="AE47" s="718"/>
      <c r="AG47" s="759"/>
      <c r="AH47" s="759"/>
      <c r="AI47" s="759"/>
      <c r="AJ47" s="759"/>
      <c r="AK47" s="719"/>
      <c r="AL47" s="863"/>
      <c r="AM47" s="787"/>
      <c r="AN47" s="718"/>
      <c r="AO47" s="863"/>
    </row>
    <row r="48" ht="145" customHeight="1" spans="2:47">
      <c r="B48" s="893" t="s">
        <v>117</v>
      </c>
      <c r="C48" s="893"/>
      <c r="D48" s="893"/>
      <c r="E48" s="893"/>
      <c r="F48" s="893"/>
      <c r="G48" s="893"/>
      <c r="H48" s="893"/>
      <c r="I48" s="893"/>
      <c r="J48" s="893"/>
      <c r="K48" s="893"/>
      <c r="L48" s="893"/>
      <c r="M48" s="893"/>
      <c r="N48" s="893"/>
      <c r="O48" s="893"/>
      <c r="P48" s="893"/>
      <c r="Q48" s="893"/>
      <c r="R48" s="893"/>
      <c r="S48" s="893"/>
      <c r="T48" s="864"/>
      <c r="U48" s="894"/>
      <c r="V48" s="861"/>
      <c r="W48" s="17"/>
      <c r="X48" s="864"/>
      <c r="AA48" s="865"/>
      <c r="AB48" s="759"/>
      <c r="AC48" s="759"/>
      <c r="AD48" s="759"/>
      <c r="AE48" s="895"/>
      <c r="AG48" s="759"/>
      <c r="AH48" s="759"/>
      <c r="AI48" s="759"/>
      <c r="AJ48" s="759"/>
      <c r="AK48" s="719"/>
      <c r="AL48" s="863"/>
      <c r="AM48" s="896"/>
      <c r="AN48" s="895"/>
    </row>
    <row r="49" s="622" customFormat="1" ht="25" customHeight="1" spans="1:47">
      <c r="B49" s="897"/>
      <c r="C49" s="897"/>
      <c r="D49" s="897"/>
      <c r="E49" s="898"/>
      <c r="F49" s="898"/>
      <c r="G49" s="897"/>
      <c r="H49" s="897"/>
      <c r="I49" s="897"/>
      <c r="J49" s="897"/>
      <c r="K49" s="897"/>
      <c r="L49" s="899"/>
      <c r="M49" s="899"/>
      <c r="N49" s="899"/>
      <c r="O49" s="899"/>
      <c r="P49" s="899"/>
      <c r="Q49" s="897"/>
      <c r="R49" s="897"/>
      <c r="S49" s="897"/>
      <c r="T49" s="864"/>
      <c r="U49" s="894"/>
      <c r="V49" s="861"/>
      <c r="W49" s="17"/>
      <c r="X49" s="864"/>
      <c r="Y49" s="17"/>
      <c r="Z49" s="17"/>
      <c r="AA49" s="865"/>
      <c r="AB49" s="759"/>
      <c r="AC49" s="759"/>
      <c r="AD49" s="759"/>
      <c r="AE49" s="696"/>
      <c r="AF49" s="17"/>
      <c r="AG49" s="759"/>
      <c r="AH49" s="759"/>
      <c r="AI49" s="759"/>
      <c r="AJ49" s="759"/>
      <c r="AK49" s="719"/>
      <c r="AL49" s="900"/>
      <c r="AM49" s="718"/>
      <c r="AN49" s="718"/>
      <c r="AO49" s="17"/>
      <c r="AP49" s="17"/>
      <c r="AQ49" s="17"/>
      <c r="AR49" s="17"/>
      <c r="AS49" s="17"/>
      <c r="AT49" s="17"/>
      <c r="AU49" s="17"/>
    </row>
    <row r="50" s="622" customFormat="1" ht="25" customHeight="1" spans="1:47">
      <c r="D50" s="901">
        <v>43761.47</v>
      </c>
      <c r="E50" s="901">
        <v>18165.14</v>
      </c>
      <c r="F50" s="901">
        <v>45330.27</v>
      </c>
      <c r="G50" s="902">
        <v>203111.77</v>
      </c>
      <c r="H50" s="622">
        <v>240.56</v>
      </c>
      <c r="J50" s="681"/>
      <c r="K50" s="681"/>
      <c r="L50" s="899"/>
      <c r="M50" s="662"/>
      <c r="N50" s="662"/>
      <c r="O50" s="662"/>
      <c r="P50" s="662"/>
      <c r="Q50" s="897"/>
      <c r="R50" s="897"/>
      <c r="S50" s="897"/>
      <c r="T50" s="864"/>
      <c r="U50" s="894"/>
      <c r="V50" s="861"/>
      <c r="W50" s="17"/>
      <c r="X50" s="903"/>
      <c r="Y50" s="904"/>
      <c r="Z50" s="904"/>
      <c r="AA50" s="865"/>
      <c r="AB50" s="759"/>
      <c r="AC50" s="759"/>
      <c r="AD50" s="759"/>
      <c r="AE50" s="905"/>
      <c r="AF50" s="906"/>
      <c r="AG50" s="759"/>
      <c r="AH50" s="759"/>
      <c r="AI50" s="759"/>
      <c r="AJ50" s="759"/>
      <c r="AK50" s="719"/>
      <c r="AL50" s="900"/>
      <c r="AM50" s="718"/>
      <c r="AN50" s="718"/>
      <c r="AO50" s="17"/>
      <c r="AP50" s="17"/>
      <c r="AQ50" s="17"/>
      <c r="AR50" s="17"/>
      <c r="AS50" s="17"/>
      <c r="AT50" s="17"/>
      <c r="AU50" s="17"/>
    </row>
    <row r="51" s="622" customFormat="1" ht="25" customHeight="1" spans="1:47">
      <c r="A51" s="907"/>
      <c r="B51" s="908"/>
      <c r="C51" s="897"/>
      <c r="D51" s="909"/>
      <c r="E51" s="908">
        <v>-810415.84</v>
      </c>
      <c r="F51" s="897">
        <f>D50+E50+F50-G50+H50+E51</f>
        <v>-906030.17</v>
      </c>
      <c r="G51" s="897"/>
      <c r="H51" s="897"/>
      <c r="I51" s="897"/>
      <c r="J51" s="681"/>
      <c r="K51" s="681"/>
      <c r="L51" s="899"/>
      <c r="M51" s="662">
        <f>857000+509104.73+10000</f>
        <v>1376104.73</v>
      </c>
      <c r="N51" s="662">
        <f>M51/1.09*0.09</f>
        <v>113623.326330275</v>
      </c>
      <c r="O51" s="662"/>
      <c r="P51" s="662"/>
      <c r="Q51" s="897"/>
      <c r="R51" s="897"/>
      <c r="S51" s="622"/>
      <c r="U51" s="894"/>
      <c r="V51" s="861"/>
      <c r="W51" s="17"/>
      <c r="X51" s="910"/>
      <c r="Y51" s="911"/>
      <c r="Z51" s="911"/>
      <c r="AA51" s="865"/>
      <c r="AB51" s="759"/>
      <c r="AC51" s="759"/>
      <c r="AD51" s="759"/>
      <c r="AE51" s="905"/>
      <c r="AF51" s="906"/>
      <c r="AG51" s="759"/>
      <c r="AH51" s="759"/>
      <c r="AI51" s="759"/>
      <c r="AJ51" s="759"/>
      <c r="AK51" s="719"/>
      <c r="AL51" s="863"/>
      <c r="AM51" s="718"/>
      <c r="AN51" s="718"/>
      <c r="AO51" s="17"/>
      <c r="AP51" s="17"/>
      <c r="AQ51" s="17"/>
      <c r="AR51" s="17"/>
      <c r="AS51" s="17"/>
      <c r="AT51" s="17"/>
      <c r="AU51" s="17"/>
    </row>
    <row r="52" s="622" customFormat="1" ht="75" customHeight="1" spans="1:47">
      <c r="A52" s="41"/>
      <c r="B52" s="897"/>
      <c r="C52" s="897"/>
      <c r="D52" s="908"/>
      <c r="E52" s="908"/>
      <c r="F52" s="897"/>
      <c r="G52" s="897"/>
      <c r="H52" s="897"/>
      <c r="I52" s="897"/>
      <c r="J52" s="663"/>
      <c r="K52" s="912" t="s">
        <v>118</v>
      </c>
      <c r="L52" s="913"/>
      <c r="M52" s="914"/>
      <c r="N52" s="915"/>
      <c r="O52" s="914"/>
      <c r="P52" s="662"/>
      <c r="Q52" s="897"/>
      <c r="R52" s="897"/>
      <c r="S52" s="897"/>
      <c r="T52" s="864"/>
      <c r="U52" s="894"/>
      <c r="V52" s="861"/>
      <c r="W52" s="17"/>
      <c r="X52" s="910"/>
      <c r="Y52" s="911"/>
      <c r="Z52" s="911"/>
      <c r="AA52" s="865"/>
      <c r="AB52" s="759"/>
      <c r="AC52" s="759"/>
      <c r="AD52" s="759"/>
      <c r="AE52" s="895"/>
      <c r="AF52" s="906"/>
      <c r="AG52" s="759"/>
      <c r="AH52" s="759"/>
      <c r="AI52" s="759"/>
      <c r="AJ52" s="759"/>
      <c r="AK52" s="719"/>
      <c r="AL52" s="863"/>
      <c r="AM52" s="718"/>
      <c r="AN52" s="718"/>
      <c r="AO52" s="17"/>
      <c r="AP52" s="17"/>
      <c r="AQ52" s="17"/>
      <c r="AR52" s="17"/>
      <c r="AS52" s="17"/>
      <c r="AT52" s="17"/>
      <c r="AU52" s="17"/>
    </row>
    <row r="53" s="622" customFormat="1" ht="57" customHeight="1" spans="1:47">
      <c r="A53" s="41"/>
      <c r="B53" s="897"/>
      <c r="C53" s="897"/>
      <c r="D53" s="897">
        <v>2904.33</v>
      </c>
      <c r="E53" s="897">
        <f>D53/1.06</f>
        <v>2739.93396226415</v>
      </c>
      <c r="F53" s="897"/>
      <c r="G53" s="897"/>
      <c r="H53" s="897"/>
      <c r="I53" s="897"/>
      <c r="J53" s="663"/>
      <c r="K53" s="691"/>
      <c r="L53" s="899"/>
      <c r="M53" s="662"/>
      <c r="N53" s="691"/>
      <c r="O53" s="662"/>
      <c r="P53" s="662"/>
      <c r="Q53" s="897"/>
      <c r="T53" s="864"/>
      <c r="U53" s="894"/>
      <c r="V53" s="861"/>
      <c r="W53" s="17"/>
      <c r="X53" s="910"/>
      <c r="Y53" s="911"/>
      <c r="Z53" s="911"/>
      <c r="AA53" s="865"/>
      <c r="AB53" s="759"/>
      <c r="AC53" s="759"/>
      <c r="AD53" s="697"/>
      <c r="AE53" s="696"/>
      <c r="AF53" s="906"/>
      <c r="AG53" s="759"/>
      <c r="AH53" s="759"/>
      <c r="AI53" s="759"/>
      <c r="AJ53" s="759"/>
      <c r="AK53" s="719"/>
      <c r="AL53" s="900"/>
      <c r="AM53" s="718"/>
      <c r="AN53" s="718"/>
      <c r="AO53" s="17"/>
      <c r="AP53" s="17"/>
      <c r="AQ53" s="17"/>
      <c r="AR53" s="17"/>
      <c r="AS53" s="17"/>
      <c r="AT53" s="17"/>
      <c r="AU53" s="17"/>
    </row>
    <row r="54" s="622" customFormat="1" ht="25" customHeight="1" spans="1:47">
      <c r="B54" s="897"/>
      <c r="C54" s="897"/>
      <c r="D54" s="897"/>
      <c r="E54" s="897"/>
      <c r="F54" s="897"/>
      <c r="G54" s="897"/>
      <c r="H54" s="897"/>
      <c r="I54" s="897"/>
      <c r="J54" s="662"/>
      <c r="K54" s="915"/>
      <c r="L54" s="899"/>
      <c r="N54" s="915"/>
      <c r="O54" s="662"/>
      <c r="P54" s="662"/>
      <c r="Q54" s="897"/>
      <c r="T54" s="864"/>
      <c r="U54" s="894"/>
      <c r="V54" s="861"/>
      <c r="W54" s="17"/>
      <c r="X54" s="910"/>
      <c r="Y54" s="911"/>
      <c r="Z54" s="911"/>
      <c r="AA54" s="865"/>
      <c r="AB54" s="759"/>
      <c r="AC54" s="759"/>
      <c r="AD54" s="697"/>
      <c r="AE54" s="718"/>
      <c r="AF54" s="906"/>
      <c r="AG54" s="759"/>
      <c r="AH54" s="759"/>
      <c r="AI54" s="759"/>
      <c r="AJ54" s="759"/>
      <c r="AK54" s="719"/>
      <c r="AL54" s="900"/>
      <c r="AM54" s="718"/>
      <c r="AN54" s="718"/>
      <c r="AO54" s="17"/>
      <c r="AP54" s="17"/>
      <c r="AQ54" s="17"/>
      <c r="AR54" s="17"/>
      <c r="AS54" s="17"/>
      <c r="AT54" s="17"/>
      <c r="AU54" s="17"/>
    </row>
    <row r="55" s="622" customFormat="1" ht="25" customHeight="1" spans="1:47">
      <c r="B55" s="897"/>
      <c r="C55" s="897"/>
      <c r="D55" s="916" t="s">
        <v>119</v>
      </c>
      <c r="E55" s="916" t="s">
        <v>120</v>
      </c>
      <c r="F55" s="916" t="s">
        <v>121</v>
      </c>
      <c r="G55" s="917" t="s">
        <v>122</v>
      </c>
      <c r="H55" s="917" t="s">
        <v>123</v>
      </c>
      <c r="I55" s="917" t="s">
        <v>124</v>
      </c>
      <c r="J55" s="916" t="s">
        <v>47</v>
      </c>
      <c r="K55" s="915"/>
      <c r="L55" s="899"/>
      <c r="M55" s="662"/>
      <c r="N55" s="915"/>
      <c r="O55" s="662"/>
      <c r="P55" s="662"/>
      <c r="Q55" s="897"/>
      <c r="T55" s="864"/>
      <c r="U55" s="894"/>
      <c r="V55" s="861"/>
      <c r="W55" s="17"/>
      <c r="X55" s="910"/>
      <c r="Y55" s="911"/>
      <c r="Z55" s="911"/>
      <c r="AA55" s="865"/>
      <c r="AB55" s="759"/>
      <c r="AC55" s="759"/>
      <c r="AD55" s="759"/>
      <c r="AE55" s="718"/>
      <c r="AF55" s="906"/>
      <c r="AG55" s="759"/>
      <c r="AH55" s="759"/>
      <c r="AI55" s="759"/>
      <c r="AJ55" s="759"/>
      <c r="AK55" s="719"/>
      <c r="AL55" s="718"/>
      <c r="AM55" s="718"/>
      <c r="AN55" s="718"/>
      <c r="AO55" s="17"/>
      <c r="AP55" s="17"/>
      <c r="AQ55" s="17"/>
      <c r="AR55" s="17"/>
      <c r="AS55" s="17"/>
      <c r="AT55" s="17"/>
      <c r="AU55" s="17"/>
    </row>
    <row r="56" s="622" customFormat="1" ht="37" customHeight="1" spans="1:47">
      <c r="B56" s="897"/>
      <c r="C56" s="897"/>
      <c r="D56" s="916" t="s">
        <v>116</v>
      </c>
      <c r="E56" s="918" t="s">
        <v>125</v>
      </c>
      <c r="F56" s="919"/>
      <c r="G56" s="916">
        <f>199739.28+56654+100+205198.22-2659+188647.69</f>
        <v>647680.19</v>
      </c>
      <c r="H56" s="920">
        <v>0.02</v>
      </c>
      <c r="I56" s="921">
        <f>G56*H56</f>
        <v>12953.6038</v>
      </c>
      <c r="J56" s="916"/>
      <c r="K56" s="915"/>
      <c r="L56" s="899"/>
      <c r="M56" s="662"/>
      <c r="N56" s="915"/>
      <c r="O56" s="662"/>
      <c r="P56" s="662"/>
      <c r="Q56" s="897"/>
      <c r="T56" s="864"/>
      <c r="U56" s="894"/>
      <c r="V56" s="861"/>
      <c r="W56" s="17"/>
      <c r="X56" s="910"/>
      <c r="Y56" s="911"/>
      <c r="Z56" s="911"/>
      <c r="AA56" s="865"/>
      <c r="AB56" s="759"/>
      <c r="AC56" s="759"/>
      <c r="AD56" s="697"/>
      <c r="AE56" s="696"/>
      <c r="AF56" s="906"/>
      <c r="AG56" s="759"/>
      <c r="AH56" s="759"/>
      <c r="AI56" s="759"/>
      <c r="AJ56" s="759"/>
      <c r="AK56" s="719"/>
      <c r="AL56" s="718"/>
      <c r="AM56" s="718"/>
      <c r="AN56" s="718"/>
      <c r="AO56" s="17"/>
      <c r="AP56" s="17"/>
      <c r="AQ56" s="17"/>
      <c r="AR56" s="17"/>
      <c r="AS56" s="17"/>
      <c r="AT56" s="17"/>
      <c r="AU56" s="17"/>
    </row>
    <row r="57" s="622" customFormat="1" ht="25" customHeight="1" spans="1:47">
      <c r="B57" s="897"/>
      <c r="C57" s="897"/>
      <c r="D57" s="897"/>
      <c r="E57" s="897"/>
      <c r="F57" s="897"/>
      <c r="G57" s="662"/>
      <c r="H57" s="908"/>
      <c r="I57" s="897"/>
      <c r="J57" s="662"/>
      <c r="K57" s="915"/>
      <c r="L57" s="899"/>
      <c r="M57" s="662"/>
      <c r="N57" s="915"/>
      <c r="O57" s="662"/>
      <c r="P57" s="662"/>
      <c r="Q57" s="897"/>
      <c r="T57" s="864"/>
      <c r="U57" s="894"/>
      <c r="V57" s="861"/>
      <c r="W57" s="17"/>
      <c r="X57" s="864"/>
      <c r="Y57" s="17"/>
      <c r="Z57" s="17"/>
      <c r="AA57" s="865"/>
      <c r="AB57" s="759"/>
      <c r="AC57" s="759"/>
      <c r="AD57" s="697"/>
      <c r="AE57" s="718"/>
      <c r="AF57" s="17"/>
      <c r="AG57" s="759"/>
      <c r="AH57" s="759"/>
      <c r="AI57" s="759"/>
      <c r="AJ57" s="759"/>
      <c r="AK57" s="719"/>
      <c r="AL57" s="718"/>
      <c r="AM57" s="718"/>
      <c r="AN57" s="718"/>
      <c r="AO57" s="17"/>
      <c r="AP57" s="17"/>
      <c r="AQ57" s="17"/>
      <c r="AR57" s="17"/>
      <c r="AS57" s="17"/>
      <c r="AT57" s="17"/>
      <c r="AU57" s="17"/>
    </row>
    <row r="58" s="622" customFormat="1" ht="25" customHeight="1" spans="1:47">
      <c r="B58" s="897"/>
      <c r="C58" s="897"/>
      <c r="D58" s="897"/>
      <c r="E58" s="897"/>
      <c r="F58" s="897"/>
      <c r="G58" s="908"/>
      <c r="H58" s="908"/>
      <c r="I58" s="897"/>
      <c r="J58" s="662"/>
      <c r="K58" s="915"/>
      <c r="L58" s="899"/>
      <c r="M58" s="662"/>
      <c r="N58" s="915"/>
      <c r="O58" s="662"/>
      <c r="P58" s="662"/>
      <c r="Q58" s="897"/>
      <c r="T58" s="864"/>
      <c r="U58" s="894"/>
      <c r="V58" s="861"/>
      <c r="W58" s="17"/>
      <c r="X58" s="864"/>
      <c r="Y58" s="17"/>
      <c r="Z58" s="17"/>
      <c r="AA58" s="865"/>
      <c r="AB58" s="759"/>
      <c r="AC58" s="759"/>
      <c r="AD58" s="697"/>
      <c r="AE58" s="718"/>
      <c r="AF58" s="17"/>
      <c r="AG58" s="759"/>
      <c r="AH58" s="759"/>
      <c r="AI58" s="759"/>
      <c r="AJ58" s="759"/>
      <c r="AK58" s="719"/>
      <c r="AL58" s="718"/>
      <c r="AM58" s="718"/>
      <c r="AN58" s="718"/>
      <c r="AO58" s="17"/>
      <c r="AP58" s="17"/>
      <c r="AQ58" s="17"/>
      <c r="AR58" s="17"/>
      <c r="AS58" s="17"/>
      <c r="AT58" s="17"/>
      <c r="AU58" s="17"/>
    </row>
    <row r="59" s="622" customFormat="1" ht="34" customHeight="1" spans="1:47">
      <c r="B59" s="897"/>
      <c r="C59" s="897"/>
      <c r="D59" s="897"/>
      <c r="E59" s="922"/>
      <c r="F59" s="908"/>
      <c r="G59" s="897"/>
      <c r="H59" s="897"/>
      <c r="I59" s="897"/>
      <c r="J59" s="662"/>
      <c r="K59" s="915"/>
      <c r="L59" s="899"/>
      <c r="M59" s="662"/>
      <c r="N59" s="915"/>
      <c r="O59" s="662"/>
      <c r="P59" s="662"/>
      <c r="Q59" s="897"/>
      <c r="T59" s="864"/>
      <c r="U59" s="894"/>
      <c r="V59" s="861"/>
      <c r="W59" s="17"/>
      <c r="X59" s="864"/>
      <c r="Y59" s="17"/>
      <c r="Z59" s="17"/>
      <c r="AA59" s="923"/>
      <c r="AB59" s="924"/>
      <c r="AC59" s="925"/>
      <c r="AD59" s="926"/>
      <c r="AE59" s="718"/>
      <c r="AF59" s="17"/>
      <c r="AG59" s="869"/>
      <c r="AH59" s="759"/>
      <c r="AI59" s="759"/>
      <c r="AJ59" s="759"/>
      <c r="AK59" s="927"/>
      <c r="AL59" s="718"/>
      <c r="AM59" s="718"/>
      <c r="AN59" s="718"/>
      <c r="AO59" s="17"/>
      <c r="AP59" s="17"/>
      <c r="AQ59" s="17"/>
      <c r="AR59" s="17"/>
      <c r="AS59" s="17"/>
      <c r="AT59" s="17"/>
      <c r="AU59" s="17"/>
    </row>
    <row r="60" customHeight="1" spans="1:47">
      <c r="D60" s="622"/>
      <c r="E60" s="622"/>
      <c r="F60" s="622"/>
      <c r="G60" s="622"/>
      <c r="H60" s="622"/>
      <c r="I60" s="622"/>
      <c r="J60" s="662"/>
      <c r="K60" s="915"/>
      <c r="L60" s="928"/>
      <c r="M60" s="662"/>
      <c r="N60" s="915"/>
      <c r="O60" s="662"/>
      <c r="P60" s="662"/>
      <c r="Q60" s="622"/>
      <c r="T60" s="907"/>
      <c r="U60" s="907"/>
      <c r="V60" s="907"/>
      <c r="W60" s="907"/>
      <c r="X60" s="907"/>
      <c r="AA60" s="923"/>
      <c r="AB60" s="924"/>
      <c r="AC60" s="925"/>
      <c r="AD60" s="701"/>
      <c r="AE60" s="718"/>
      <c r="AG60" s="869"/>
      <c r="AH60" s="759"/>
      <c r="AI60" s="759"/>
      <c r="AJ60" s="701"/>
      <c r="AK60" s="719"/>
      <c r="AL60" s="718"/>
      <c r="AM60" s="718"/>
      <c r="AN60" s="718"/>
    </row>
    <row r="61" s="623" customFormat="1" ht="23" customHeight="1" spans="1:47">
      <c r="D61" s="907"/>
      <c r="E61" s="907"/>
      <c r="F61" s="907"/>
      <c r="G61" s="907"/>
      <c r="H61" s="907"/>
      <c r="I61" s="17"/>
      <c r="J61" s="662"/>
      <c r="K61" s="929" t="s">
        <v>126</v>
      </c>
      <c r="L61" s="930"/>
      <c r="M61" s="899"/>
      <c r="N61" s="662"/>
      <c r="O61" s="662"/>
      <c r="P61" s="662"/>
      <c r="Q61" s="907"/>
      <c r="T61" s="907"/>
      <c r="U61" s="907"/>
      <c r="V61" s="907"/>
      <c r="W61" s="907"/>
      <c r="X61" s="907"/>
      <c r="Y61" s="17"/>
      <c r="Z61" s="17"/>
      <c r="AA61" s="923"/>
      <c r="AB61" s="924"/>
      <c r="AC61" s="925"/>
      <c r="AD61" s="697"/>
      <c r="AE61" s="931"/>
      <c r="AF61" s="17"/>
      <c r="AG61" s="869"/>
      <c r="AH61" s="759"/>
      <c r="AI61" s="759"/>
      <c r="AJ61" s="759"/>
      <c r="AK61" s="927"/>
      <c r="AL61" s="931"/>
      <c r="AM61" s="718"/>
      <c r="AN61" s="718"/>
      <c r="AO61" s="17"/>
      <c r="AP61" s="17"/>
      <c r="AQ61" s="17"/>
      <c r="AR61" s="17"/>
      <c r="AS61" s="17"/>
      <c r="AT61" s="17"/>
      <c r="AU61" s="17"/>
    </row>
    <row r="62" s="624" customFormat="1" ht="37" customHeight="1" spans="1:47">
      <c r="C62" s="41"/>
      <c r="D62" s="41"/>
      <c r="E62" s="41"/>
      <c r="F62" s="932"/>
      <c r="G62" s="41"/>
      <c r="H62" s="562"/>
      <c r="I62" s="662"/>
      <c r="J62" s="662"/>
      <c r="K62" s="933" t="s">
        <v>127</v>
      </c>
      <c r="L62" s="934">
        <v>1824471.2</v>
      </c>
      <c r="M62" s="899"/>
      <c r="N62" s="662"/>
      <c r="O62" s="662"/>
      <c r="P62" s="662"/>
      <c r="Q62" s="932"/>
      <c r="T62" s="935"/>
      <c r="U62" s="935"/>
      <c r="V62" s="935"/>
      <c r="W62" s="935"/>
      <c r="X62" s="935"/>
      <c r="Y62" s="935"/>
      <c r="Z62" s="935"/>
      <c r="AA62" s="936"/>
      <c r="AB62" s="759"/>
      <c r="AC62" s="759"/>
      <c r="AD62" s="759"/>
      <c r="AE62" s="931"/>
      <c r="AF62" s="935"/>
      <c r="AG62" s="937"/>
      <c r="AH62" s="938"/>
      <c r="AI62" s="759"/>
      <c r="AJ62" s="759"/>
      <c r="AK62" s="719"/>
      <c r="AL62" s="931"/>
      <c r="AM62" s="718"/>
      <c r="AN62" s="696"/>
      <c r="AO62" s="662"/>
      <c r="AP62" s="662"/>
      <c r="AQ62" s="662"/>
      <c r="AR62" s="662"/>
      <c r="AS62" s="662"/>
      <c r="AT62" s="662"/>
      <c r="AU62" s="662"/>
    </row>
    <row r="63" s="624" customFormat="1" ht="22" customHeight="1" spans="1:47">
      <c r="C63" s="54"/>
      <c r="D63" s="939"/>
      <c r="E63" s="41"/>
      <c r="F63" s="46"/>
      <c r="G63" s="52"/>
      <c r="H63" s="940"/>
      <c r="I63" s="932"/>
      <c r="J63" s="662"/>
      <c r="K63" s="941" t="s">
        <v>128</v>
      </c>
      <c r="L63" s="934">
        <v>0</v>
      </c>
      <c r="M63" s="899"/>
      <c r="N63" s="662"/>
      <c r="O63" s="663"/>
      <c r="P63" s="662"/>
      <c r="Q63" s="932"/>
      <c r="T63" s="942"/>
      <c r="U63" s="942"/>
      <c r="V63" s="942"/>
      <c r="W63" s="943"/>
      <c r="X63" s="942"/>
      <c r="Y63" s="944"/>
      <c r="Z63" s="945"/>
      <c r="AA63" s="936"/>
      <c r="AB63" s="759"/>
      <c r="AC63" s="759"/>
      <c r="AD63" s="759"/>
      <c r="AE63" s="931"/>
      <c r="AF63" s="946"/>
      <c r="AG63" s="937"/>
      <c r="AH63" s="938"/>
      <c r="AI63" s="759"/>
      <c r="AJ63" s="759"/>
      <c r="AK63" s="719"/>
      <c r="AL63" s="947"/>
      <c r="AM63" s="718"/>
      <c r="AN63" s="696"/>
      <c r="AO63" s="662"/>
      <c r="AP63" s="662"/>
      <c r="AQ63" s="662"/>
      <c r="AR63" s="662"/>
      <c r="AS63" s="662"/>
      <c r="AT63" s="662"/>
      <c r="AU63" s="662"/>
    </row>
    <row r="64" s="624" customFormat="1" ht="22" customHeight="1" spans="1:47">
      <c r="C64" s="54"/>
      <c r="D64" s="939"/>
      <c r="E64" s="41"/>
      <c r="F64" s="46"/>
      <c r="G64" s="52"/>
      <c r="H64" s="940"/>
      <c r="I64" s="932"/>
      <c r="J64" s="662"/>
      <c r="K64" s="948" t="s">
        <v>129</v>
      </c>
      <c r="L64" s="949">
        <v>6084084.41</v>
      </c>
      <c r="M64" s="950"/>
      <c r="N64" s="622"/>
      <c r="O64" s="951"/>
      <c r="P64" s="662"/>
      <c r="Q64" s="932"/>
      <c r="T64" s="942"/>
      <c r="U64" s="942"/>
      <c r="V64" s="942"/>
      <c r="W64" s="943"/>
      <c r="X64" s="942"/>
      <c r="Y64" s="944"/>
      <c r="Z64" s="944"/>
      <c r="AA64" s="936"/>
      <c r="AB64" s="759"/>
      <c r="AC64" s="759"/>
      <c r="AD64" s="759"/>
      <c r="AE64" s="931"/>
      <c r="AF64" s="946"/>
      <c r="AG64" s="937"/>
      <c r="AH64" s="938"/>
      <c r="AI64" s="759"/>
      <c r="AJ64" s="759"/>
      <c r="AK64" s="719"/>
      <c r="AL64" s="931"/>
      <c r="AM64" s="787"/>
      <c r="AN64" s="905"/>
      <c r="AO64" s="662"/>
      <c r="AP64" s="662"/>
      <c r="AQ64" s="662"/>
      <c r="AR64" s="662"/>
      <c r="AS64" s="662"/>
      <c r="AT64" s="662"/>
      <c r="AU64" s="662"/>
    </row>
    <row r="65" s="624" customFormat="1" ht="22" customHeight="1" spans="6:47">
      <c r="J65" s="662"/>
      <c r="K65" s="948" t="s">
        <v>130</v>
      </c>
      <c r="L65" s="949">
        <v>331814.75</v>
      </c>
      <c r="M65" s="899"/>
      <c r="N65" s="662"/>
      <c r="O65" s="662"/>
      <c r="P65" s="662"/>
      <c r="T65" s="942"/>
      <c r="U65" s="942"/>
      <c r="V65" s="942"/>
      <c r="W65" s="943"/>
      <c r="X65" s="952"/>
      <c r="Y65" s="944"/>
      <c r="Z65" s="944"/>
      <c r="AA65" s="936"/>
      <c r="AB65" s="759"/>
      <c r="AC65" s="759"/>
      <c r="AD65" s="759"/>
      <c r="AE65" s="931"/>
      <c r="AF65" s="946"/>
      <c r="AG65" s="937"/>
      <c r="AH65" s="938"/>
      <c r="AI65" s="759"/>
      <c r="AJ65" s="759"/>
      <c r="AK65" s="719"/>
      <c r="AL65" s="931"/>
      <c r="AM65" s="787"/>
      <c r="AN65" s="905"/>
      <c r="AO65" s="662"/>
      <c r="AP65" s="662"/>
      <c r="AQ65" s="662"/>
      <c r="AR65" s="662"/>
      <c r="AS65" s="662"/>
      <c r="AT65" s="662"/>
      <c r="AU65" s="662"/>
    </row>
    <row r="66" s="624" customFormat="1" ht="22" customHeight="1" spans="6:47">
      <c r="F66" s="624">
        <v>5700466</v>
      </c>
      <c r="J66" s="681"/>
      <c r="K66" s="948" t="s">
        <v>131</v>
      </c>
      <c r="L66" s="949">
        <v>0</v>
      </c>
      <c r="M66" s="899"/>
      <c r="N66" s="662"/>
      <c r="O66" s="662"/>
      <c r="P66" s="662"/>
      <c r="T66" s="942"/>
      <c r="U66" s="942"/>
      <c r="V66" s="942"/>
      <c r="W66" s="943"/>
      <c r="X66" s="952"/>
      <c r="Y66" s="944"/>
      <c r="Z66" s="944"/>
      <c r="AA66" s="936"/>
      <c r="AB66" s="759"/>
      <c r="AC66" s="759"/>
      <c r="AD66" s="759"/>
      <c r="AE66" s="931"/>
      <c r="AF66" s="946"/>
      <c r="AG66" s="953"/>
      <c r="AH66" s="938"/>
      <c r="AI66" s="759"/>
      <c r="AJ66" s="759"/>
      <c r="AK66" s="719"/>
      <c r="AL66" s="931"/>
      <c r="AM66" s="954"/>
      <c r="AN66" s="895"/>
      <c r="AO66" s="662"/>
      <c r="AP66" s="662"/>
      <c r="AQ66" s="662"/>
      <c r="AR66" s="662"/>
      <c r="AS66" s="662"/>
      <c r="AT66" s="662"/>
      <c r="AU66" s="662"/>
    </row>
    <row r="67" s="625" customFormat="1" ht="22" customHeight="1" spans="6:47">
      <c r="F67" s="625">
        <v>4315000</v>
      </c>
      <c r="K67" s="948" t="s">
        <v>132</v>
      </c>
      <c r="L67" s="949">
        <v>-1832818.65</v>
      </c>
      <c r="M67" s="950"/>
      <c r="N67" s="951"/>
      <c r="O67" s="955"/>
      <c r="P67" s="956"/>
      <c r="T67" s="942"/>
      <c r="U67" s="942"/>
      <c r="V67" s="942"/>
      <c r="W67" s="943"/>
      <c r="X67" s="942"/>
      <c r="Y67" s="944"/>
      <c r="Z67" s="944"/>
      <c r="AA67" s="936"/>
      <c r="AB67" s="759"/>
      <c r="AC67" s="759"/>
      <c r="AD67" s="759"/>
      <c r="AE67" s="931"/>
      <c r="AF67" s="946"/>
      <c r="AG67" s="937"/>
      <c r="AH67" s="938"/>
      <c r="AI67" s="759"/>
      <c r="AJ67" s="759"/>
      <c r="AK67" s="719"/>
      <c r="AL67" s="931"/>
      <c r="AM67" s="787"/>
      <c r="AN67" s="905"/>
      <c r="AO67" s="662"/>
      <c r="AP67" s="662"/>
      <c r="AQ67" s="662"/>
      <c r="AR67" s="662"/>
      <c r="AS67" s="662"/>
      <c r="AT67" s="662"/>
      <c r="AU67" s="662"/>
    </row>
    <row r="68" s="625" customFormat="1" ht="22" customHeight="1" spans="6:47">
      <c r="F68" s="625">
        <v>8229246</v>
      </c>
      <c r="K68" s="948" t="s">
        <v>133</v>
      </c>
      <c r="L68" s="949">
        <v>-650464.3</v>
      </c>
      <c r="M68" s="899"/>
      <c r="N68" s="662"/>
      <c r="O68" s="955"/>
      <c r="P68" s="956"/>
      <c r="T68" s="942"/>
      <c r="U68" s="942"/>
      <c r="V68" s="942"/>
      <c r="W68" s="943"/>
      <c r="X68" s="942"/>
      <c r="Y68" s="944"/>
      <c r="Z68" s="944"/>
      <c r="AA68" s="936"/>
      <c r="AB68" s="759"/>
      <c r="AC68" s="759"/>
      <c r="AD68" s="759"/>
      <c r="AE68" s="931"/>
      <c r="AF68" s="946"/>
      <c r="AG68" s="937"/>
      <c r="AH68" s="938"/>
      <c r="AI68" s="759"/>
      <c r="AJ68" s="759"/>
      <c r="AK68" s="719"/>
      <c r="AL68" s="931"/>
      <c r="AM68" s="787"/>
      <c r="AN68" s="895"/>
      <c r="AO68" s="662"/>
      <c r="AP68" s="662"/>
      <c r="AQ68" s="662"/>
      <c r="AR68" s="662"/>
      <c r="AS68" s="662"/>
      <c r="AT68" s="662"/>
      <c r="AU68" s="662"/>
    </row>
    <row r="69" s="625" customFormat="1" ht="22" customHeight="1" spans="6:47">
      <c r="F69" s="625">
        <f>SUM(F66:F68)</f>
        <v>18244712</v>
      </c>
      <c r="K69" s="948" t="s">
        <v>134</v>
      </c>
      <c r="L69" s="949">
        <v>-564830.15</v>
      </c>
      <c r="M69" s="899"/>
      <c r="N69" s="662"/>
      <c r="O69" s="955"/>
      <c r="P69" s="956"/>
      <c r="T69" s="957"/>
      <c r="U69" s="942"/>
      <c r="V69" s="942"/>
      <c r="W69" s="943"/>
      <c r="X69" s="942"/>
      <c r="Y69" s="944"/>
      <c r="Z69" s="944"/>
      <c r="AA69" s="958"/>
      <c r="AB69" s="98"/>
      <c r="AC69" s="98"/>
      <c r="AD69" s="98"/>
      <c r="AE69" s="931"/>
      <c r="AF69" s="946"/>
      <c r="AG69" s="959"/>
      <c r="AH69" s="960"/>
      <c r="AI69" s="98"/>
      <c r="AJ69" s="98"/>
      <c r="AK69" s="100"/>
      <c r="AL69" s="931"/>
      <c r="AM69" s="787"/>
      <c r="AN69" s="895"/>
      <c r="AO69" s="662"/>
      <c r="AP69" s="662"/>
      <c r="AQ69" s="662"/>
      <c r="AR69" s="662"/>
      <c r="AS69" s="662"/>
      <c r="AT69" s="662"/>
      <c r="AU69" s="662"/>
    </row>
    <row r="70" s="625" customFormat="1" ht="22" customHeight="1" spans="6:47">
      <c r="F70" s="625">
        <f>F69*0.1</f>
        <v>1824471.2</v>
      </c>
      <c r="K70" s="948" t="s">
        <v>135</v>
      </c>
      <c r="L70" s="949">
        <v>-1262409.17</v>
      </c>
      <c r="M70" s="928"/>
      <c r="N70" s="662"/>
      <c r="O70" s="961"/>
      <c r="S70" s="962"/>
      <c r="T70" s="932"/>
      <c r="U70" s="932"/>
      <c r="V70" s="932"/>
      <c r="W70" s="932"/>
      <c r="X70" s="963"/>
      <c r="Y70" s="944"/>
      <c r="Z70" s="944"/>
      <c r="AA70" s="958"/>
      <c r="AB70" s="98"/>
      <c r="AC70" s="98"/>
      <c r="AD70" s="98"/>
      <c r="AE70" s="664"/>
      <c r="AF70" s="944"/>
      <c r="AG70" s="959"/>
      <c r="AH70" s="960"/>
      <c r="AI70" s="98"/>
      <c r="AJ70" s="964"/>
      <c r="AK70" s="100"/>
      <c r="AL70" s="664"/>
      <c r="AM70" s="787"/>
      <c r="AN70" s="895"/>
      <c r="AO70" s="662"/>
      <c r="AP70" s="662"/>
      <c r="AQ70" s="662"/>
      <c r="AR70" s="662"/>
      <c r="AS70" s="662"/>
      <c r="AT70" s="662"/>
      <c r="AU70" s="662"/>
    </row>
    <row r="71" s="625" customFormat="1" ht="22" customHeight="1" spans="6:47">
      <c r="K71" s="948" t="s">
        <v>136</v>
      </c>
      <c r="L71" s="949">
        <v>45329.35</v>
      </c>
      <c r="M71" s="17"/>
      <c r="N71" s="662"/>
      <c r="O71" s="961"/>
      <c r="T71" s="932"/>
      <c r="U71" s="932"/>
      <c r="V71" s="932"/>
      <c r="W71" s="932"/>
      <c r="X71" s="963"/>
      <c r="Y71" s="944"/>
      <c r="Z71" s="944"/>
      <c r="AA71" s="958"/>
      <c r="AB71" s="98"/>
      <c r="AC71" s="98"/>
      <c r="AD71" s="98"/>
      <c r="AE71" s="664"/>
      <c r="AF71" s="944"/>
      <c r="AG71" s="959"/>
      <c r="AH71" s="960"/>
      <c r="AI71" s="98"/>
      <c r="AJ71" s="98"/>
      <c r="AK71" s="100"/>
      <c r="AL71" s="664"/>
      <c r="AM71" s="787"/>
      <c r="AN71" s="895"/>
      <c r="AO71" s="662"/>
      <c r="AP71" s="662"/>
      <c r="AQ71" s="662"/>
      <c r="AR71" s="662"/>
      <c r="AS71" s="662"/>
      <c r="AT71" s="662"/>
      <c r="AU71" s="662"/>
    </row>
    <row r="72" s="625" customFormat="1" ht="22" customHeight="1" spans="6:47">
      <c r="K72" s="948" t="s">
        <v>137</v>
      </c>
      <c r="L72" s="949">
        <v>-440.4</v>
      </c>
      <c r="M72" s="662"/>
      <c r="N72" s="662"/>
      <c r="O72" s="961"/>
      <c r="T72" s="932"/>
      <c r="U72" s="932"/>
      <c r="V72" s="932"/>
      <c r="W72" s="932"/>
      <c r="X72" s="857"/>
      <c r="Y72" s="718"/>
      <c r="Z72" s="718"/>
      <c r="AA72" s="958"/>
      <c r="AB72" s="98"/>
      <c r="AC72" s="98"/>
      <c r="AD72" s="98"/>
      <c r="AE72" s="664"/>
      <c r="AF72" s="718"/>
      <c r="AG72" s="965"/>
      <c r="AH72" s="960"/>
      <c r="AI72" s="98"/>
      <c r="AJ72" s="98"/>
      <c r="AK72" s="100"/>
      <c r="AL72" s="664"/>
      <c r="AM72" s="787"/>
      <c r="AN72" s="905"/>
      <c r="AO72" s="662"/>
      <c r="AP72" s="662"/>
      <c r="AQ72" s="662"/>
      <c r="AR72" s="662"/>
      <c r="AS72" s="662"/>
      <c r="AT72" s="662"/>
      <c r="AU72" s="662"/>
    </row>
    <row r="73" s="625" customFormat="1" ht="22" customHeight="1" spans="6:47">
      <c r="K73" s="948"/>
      <c r="L73" s="934"/>
      <c r="M73" s="662"/>
      <c r="N73" s="662"/>
      <c r="O73" s="961"/>
      <c r="T73" s="932"/>
      <c r="U73" s="932"/>
      <c r="V73" s="932"/>
      <c r="W73" s="932"/>
      <c r="X73" s="857"/>
      <c r="Y73" s="718"/>
      <c r="Z73" s="718"/>
      <c r="AA73" s="958"/>
      <c r="AB73" s="98"/>
      <c r="AC73" s="98"/>
      <c r="AD73" s="98"/>
      <c r="AE73" s="664"/>
      <c r="AF73" s="718"/>
      <c r="AG73" s="959"/>
      <c r="AH73" s="960"/>
      <c r="AI73" s="98"/>
      <c r="AJ73" s="98"/>
      <c r="AK73" s="100"/>
      <c r="AL73" s="664"/>
      <c r="AM73" s="966"/>
      <c r="AN73" s="895"/>
      <c r="AO73" s="662"/>
      <c r="AP73" s="662"/>
      <c r="AQ73" s="662"/>
      <c r="AR73" s="662"/>
      <c r="AS73" s="662"/>
      <c r="AT73" s="662"/>
      <c r="AU73" s="662"/>
    </row>
    <row r="74" s="625" customFormat="1" ht="22" customHeight="1" spans="6:47">
      <c r="K74" s="948" t="s">
        <v>138</v>
      </c>
      <c r="L74" s="934">
        <f>SUM(L62:L73)</f>
        <v>3974737.04</v>
      </c>
      <c r="M74" s="951">
        <v>2150265.84</v>
      </c>
      <c r="N74" s="662"/>
      <c r="O74" s="961"/>
      <c r="T74" s="932"/>
      <c r="U74" s="932"/>
      <c r="V74" s="932"/>
      <c r="W74" s="932"/>
      <c r="X74" s="857"/>
      <c r="Y74" s="718"/>
      <c r="Z74" s="718"/>
      <c r="AA74" s="958"/>
      <c r="AB74" s="98"/>
      <c r="AC74" s="98"/>
      <c r="AD74" s="98"/>
      <c r="AE74" s="895"/>
      <c r="AF74" s="718"/>
      <c r="AG74" s="965"/>
      <c r="AH74" s="960"/>
      <c r="AI74" s="98"/>
      <c r="AJ74" s="98"/>
      <c r="AK74" s="100"/>
      <c r="AL74" s="863"/>
      <c r="AM74" s="966"/>
      <c r="AN74" s="895"/>
      <c r="AO74" s="662"/>
      <c r="AP74" s="662"/>
      <c r="AQ74" s="662"/>
      <c r="AR74" s="662"/>
      <c r="AS74" s="662"/>
      <c r="AT74" s="662"/>
      <c r="AU74" s="662"/>
    </row>
    <row r="75" s="625" customFormat="1" ht="22" customHeight="1" spans="6:47">
      <c r="K75" s="948" t="s">
        <v>139</v>
      </c>
      <c r="L75" s="934">
        <f>L74*0.25</f>
        <v>993684.26</v>
      </c>
      <c r="M75" s="662"/>
      <c r="N75" s="662"/>
      <c r="O75" s="961"/>
      <c r="T75" s="932"/>
      <c r="U75" s="932"/>
      <c r="V75" s="932"/>
      <c r="W75" s="932"/>
      <c r="X75" s="857"/>
      <c r="Y75" s="718"/>
      <c r="Z75" s="718"/>
      <c r="AA75" s="958"/>
      <c r="AB75" s="98"/>
      <c r="AC75" s="98"/>
      <c r="AD75" s="98"/>
      <c r="AE75" s="895"/>
      <c r="AF75" s="718"/>
      <c r="AG75" s="965"/>
      <c r="AH75" s="960"/>
      <c r="AI75" s="98"/>
      <c r="AJ75" s="98"/>
      <c r="AK75" s="100"/>
      <c r="AL75" s="863"/>
      <c r="AM75" s="966"/>
      <c r="AN75" s="895"/>
      <c r="AO75" s="662"/>
      <c r="AP75" s="662"/>
      <c r="AQ75" s="662"/>
      <c r="AR75" s="662"/>
      <c r="AS75" s="662"/>
      <c r="AT75" s="662"/>
      <c r="AU75" s="662"/>
    </row>
    <row r="76" s="625" customFormat="1" ht="22" customHeight="1" spans="6:47">
      <c r="K76" s="967" t="s">
        <v>140</v>
      </c>
      <c r="L76" s="968">
        <v>0</v>
      </c>
      <c r="M76" s="662"/>
      <c r="N76" s="662"/>
      <c r="O76" s="961"/>
      <c r="T76" s="932"/>
      <c r="U76" s="932"/>
      <c r="V76" s="932"/>
      <c r="W76" s="932"/>
      <c r="X76" s="857"/>
      <c r="Y76" s="718"/>
      <c r="Z76" s="718"/>
      <c r="AA76" s="958"/>
      <c r="AB76" s="98"/>
      <c r="AC76" s="98"/>
      <c r="AD76" s="98"/>
      <c r="AE76" s="696"/>
      <c r="AF76" s="718"/>
      <c r="AG76" s="959"/>
      <c r="AH76" s="960"/>
      <c r="AI76" s="98"/>
      <c r="AJ76" s="98"/>
      <c r="AK76" s="100"/>
      <c r="AL76" s="900"/>
      <c r="AM76" s="966"/>
      <c r="AN76" s="895"/>
      <c r="AO76" s="662"/>
      <c r="AP76" s="662"/>
      <c r="AQ76" s="662"/>
      <c r="AR76" s="662"/>
      <c r="AS76" s="662"/>
      <c r="AT76" s="662"/>
      <c r="AU76" s="662"/>
    </row>
    <row r="77" s="625" customFormat="1" ht="22" customHeight="1" spans="6:47">
      <c r="K77" s="969" t="s">
        <v>141</v>
      </c>
      <c r="L77" s="970">
        <f>L75-L76</f>
        <v>993684.26</v>
      </c>
      <c r="M77" s="662"/>
      <c r="N77" s="662"/>
      <c r="O77" s="961"/>
      <c r="T77" s="932"/>
      <c r="U77" s="932"/>
      <c r="V77" s="932"/>
      <c r="W77" s="932"/>
      <c r="X77" s="857"/>
      <c r="Y77" s="718"/>
      <c r="Z77" s="718"/>
      <c r="AA77" s="958"/>
      <c r="AB77" s="98"/>
      <c r="AC77" s="98"/>
      <c r="AD77" s="98"/>
      <c r="AE77" s="718"/>
      <c r="AF77" s="718"/>
      <c r="AG77" s="959"/>
      <c r="AH77" s="960"/>
      <c r="AI77" s="98"/>
      <c r="AJ77" s="98"/>
      <c r="AK77" s="100"/>
      <c r="AL77" s="718"/>
      <c r="AM77" s="966"/>
      <c r="AN77" s="895"/>
      <c r="AO77" s="662"/>
      <c r="AP77" s="662"/>
      <c r="AQ77" s="662"/>
      <c r="AR77" s="662"/>
      <c r="AS77" s="662"/>
      <c r="AT77" s="662"/>
      <c r="AU77" s="662"/>
    </row>
    <row r="78" s="625" customFormat="1" ht="22" customHeight="1" spans="6:47">
      <c r="O78" s="961"/>
      <c r="T78" s="932"/>
      <c r="U78" s="932"/>
      <c r="V78" s="932"/>
      <c r="W78" s="932"/>
      <c r="X78" s="857"/>
      <c r="Y78" s="718"/>
      <c r="Z78" s="718"/>
      <c r="AA78" s="958"/>
      <c r="AB78" s="98"/>
      <c r="AC78" s="98"/>
      <c r="AD78" s="98"/>
      <c r="AE78" s="830"/>
      <c r="AF78" s="718"/>
      <c r="AG78" s="959"/>
      <c r="AH78" s="960"/>
      <c r="AI78" s="98"/>
      <c r="AJ78" s="98"/>
      <c r="AK78" s="100"/>
      <c r="AL78" s="664"/>
      <c r="AM78" s="966"/>
      <c r="AN78" s="895"/>
      <c r="AO78" s="662"/>
      <c r="AP78" s="662"/>
      <c r="AQ78" s="662"/>
      <c r="AR78" s="662"/>
      <c r="AS78" s="662"/>
      <c r="AT78" s="662"/>
      <c r="AU78" s="662"/>
    </row>
    <row r="79" s="625" customFormat="1" ht="22" customHeight="1" spans="6:47">
      <c r="O79" s="961"/>
      <c r="T79" s="932"/>
      <c r="U79" s="932"/>
      <c r="V79" s="932"/>
      <c r="W79" s="932"/>
      <c r="X79" s="857"/>
      <c r="Y79" s="718"/>
      <c r="Z79" s="718"/>
      <c r="AA79" s="958"/>
      <c r="AB79" s="98"/>
      <c r="AC79" s="98"/>
      <c r="AD79" s="98"/>
      <c r="AE79" s="664"/>
      <c r="AF79" s="718"/>
      <c r="AG79" s="959"/>
      <c r="AH79" s="960"/>
      <c r="AI79" s="98"/>
      <c r="AJ79" s="971"/>
      <c r="AK79" s="100"/>
      <c r="AL79" s="664"/>
      <c r="AM79" s="966"/>
      <c r="AN79" s="895"/>
      <c r="AO79" s="662"/>
      <c r="AP79" s="662"/>
      <c r="AQ79" s="662"/>
      <c r="AR79" s="662"/>
      <c r="AS79" s="662"/>
      <c r="AT79" s="662"/>
      <c r="AU79" s="662"/>
    </row>
    <row r="80" s="625" customFormat="1" ht="22" customHeight="1" spans="6:47">
      <c r="O80" s="961"/>
      <c r="T80" s="932"/>
      <c r="U80" s="932"/>
      <c r="V80" s="932"/>
      <c r="W80" s="932"/>
      <c r="X80" s="857"/>
      <c r="Y80" s="718"/>
      <c r="Z80" s="718"/>
      <c r="AA80" s="958"/>
      <c r="AB80" s="98"/>
      <c r="AC80" s="98"/>
      <c r="AD80" s="98"/>
      <c r="AE80" s="718"/>
      <c r="AF80" s="718"/>
      <c r="AG80" s="959"/>
      <c r="AH80" s="960"/>
      <c r="AI80" s="98"/>
      <c r="AJ80" s="98"/>
      <c r="AK80" s="100"/>
      <c r="AL80" s="718"/>
      <c r="AM80" s="787"/>
      <c r="AN80" s="895"/>
      <c r="AO80" s="662"/>
      <c r="AP80" s="662"/>
      <c r="AQ80" s="662"/>
      <c r="AR80" s="662"/>
      <c r="AS80" s="662"/>
      <c r="AT80" s="662"/>
      <c r="AU80" s="662"/>
    </row>
    <row r="81" s="625" customFormat="1" ht="22" customHeight="1" spans="1:47">
      <c r="O81" s="961"/>
      <c r="T81" s="932"/>
      <c r="U81" s="932"/>
      <c r="V81" s="932"/>
      <c r="W81" s="932"/>
      <c r="X81" s="857"/>
      <c r="Y81" s="718"/>
      <c r="Z81" s="718"/>
      <c r="AA81" s="958"/>
      <c r="AB81" s="98"/>
      <c r="AC81" s="98"/>
      <c r="AD81" s="98"/>
      <c r="AE81" s="718"/>
      <c r="AF81" s="718"/>
      <c r="AG81" s="965"/>
      <c r="AH81" s="960"/>
      <c r="AI81" s="98"/>
      <c r="AJ81" s="98"/>
      <c r="AK81" s="100"/>
      <c r="AL81" s="972"/>
      <c r="AM81" s="787"/>
      <c r="AN81" s="905"/>
      <c r="AO81" s="662"/>
      <c r="AP81" s="662"/>
      <c r="AQ81" s="662"/>
      <c r="AR81" s="662"/>
      <c r="AS81" s="662"/>
      <c r="AT81" s="662"/>
      <c r="AU81" s="662"/>
    </row>
    <row r="82" s="625" customFormat="1" ht="22" customHeight="1" spans="1:47">
      <c r="L82" s="962"/>
      <c r="O82" s="961"/>
      <c r="T82" s="932"/>
      <c r="U82" s="932"/>
      <c r="V82" s="932"/>
      <c r="W82" s="932"/>
      <c r="X82" s="857"/>
      <c r="Y82" s="718"/>
      <c r="Z82" s="718"/>
      <c r="AA82" s="958"/>
      <c r="AB82" s="98"/>
      <c r="AC82" s="98"/>
      <c r="AD82" s="98"/>
      <c r="AE82" s="718"/>
      <c r="AF82" s="718"/>
      <c r="AG82" s="959"/>
      <c r="AH82" s="960"/>
      <c r="AI82" s="98"/>
      <c r="AJ82" s="971"/>
      <c r="AK82" s="100"/>
      <c r="AL82" s="718"/>
      <c r="AM82" s="787"/>
      <c r="AN82" s="895"/>
      <c r="AO82" s="662"/>
      <c r="AP82" s="662"/>
      <c r="AQ82" s="662"/>
      <c r="AR82" s="662"/>
      <c r="AS82" s="662"/>
      <c r="AT82" s="662"/>
      <c r="AU82" s="662"/>
    </row>
    <row r="83" s="625" customFormat="1" ht="22" customHeight="1" spans="1:47">
      <c r="L83" s="962"/>
      <c r="O83" s="961"/>
      <c r="T83" s="932"/>
      <c r="U83" s="932"/>
      <c r="V83" s="932"/>
      <c r="W83" s="932"/>
      <c r="X83" s="857"/>
      <c r="Y83" s="718"/>
      <c r="Z83" s="718"/>
      <c r="AA83" s="958"/>
      <c r="AB83" s="98"/>
      <c r="AC83" s="98"/>
      <c r="AD83" s="98"/>
      <c r="AE83" s="718"/>
      <c r="AF83" s="718"/>
      <c r="AG83" s="965"/>
      <c r="AH83" s="960"/>
      <c r="AI83" s="98"/>
      <c r="AJ83" s="98"/>
      <c r="AK83" s="100"/>
      <c r="AL83" s="718"/>
      <c r="AM83" s="787"/>
      <c r="AN83" s="718"/>
      <c r="AO83" s="662"/>
      <c r="AP83" s="662"/>
      <c r="AQ83" s="662"/>
      <c r="AR83" s="662"/>
      <c r="AS83" s="662"/>
      <c r="AT83" s="662"/>
      <c r="AU83" s="662"/>
    </row>
    <row r="84" s="625" customFormat="1" ht="22" customHeight="1" spans="1:47">
      <c r="L84" s="973"/>
      <c r="M84" s="974"/>
      <c r="O84" s="961"/>
      <c r="T84" s="932"/>
      <c r="U84" s="932"/>
      <c r="V84" s="932"/>
      <c r="W84" s="932"/>
      <c r="X84" s="857"/>
      <c r="Y84" s="718"/>
      <c r="Z84" s="718"/>
      <c r="AA84" s="958"/>
      <c r="AB84" s="98"/>
      <c r="AC84" s="98"/>
      <c r="AD84" s="98"/>
      <c r="AE84" s="718"/>
      <c r="AF84" s="718"/>
      <c r="AG84" s="959"/>
      <c r="AH84" s="960"/>
      <c r="AI84" s="98"/>
      <c r="AJ84" s="971"/>
      <c r="AK84" s="100"/>
      <c r="AL84" s="718"/>
      <c r="AM84" s="787"/>
      <c r="AN84" s="718"/>
      <c r="AO84" s="662"/>
      <c r="AP84" s="662"/>
      <c r="AQ84" s="662"/>
      <c r="AR84" s="662"/>
      <c r="AS84" s="662"/>
      <c r="AT84" s="662"/>
      <c r="AU84" s="662"/>
    </row>
    <row r="85" s="625" customFormat="1" ht="22" customHeight="1" spans="1:47">
      <c r="M85" s="974"/>
      <c r="N85" s="625"/>
      <c r="O85" s="961"/>
      <c r="T85" s="932"/>
      <c r="U85" s="932"/>
      <c r="V85" s="932"/>
      <c r="W85" s="932"/>
      <c r="X85" s="857"/>
      <c r="Y85" s="718"/>
      <c r="Z85" s="718"/>
      <c r="AA85" s="958"/>
      <c r="AB85" s="98"/>
      <c r="AC85" s="98"/>
      <c r="AD85" s="98"/>
      <c r="AE85" s="718"/>
      <c r="AF85" s="718"/>
      <c r="AG85" s="959"/>
      <c r="AH85" s="960"/>
      <c r="AI85" s="98"/>
      <c r="AJ85" s="98"/>
      <c r="AK85" s="100"/>
      <c r="AL85" s="718"/>
      <c r="AM85" s="718"/>
      <c r="AN85" s="718"/>
      <c r="AO85" s="718"/>
      <c r="AP85" s="662"/>
      <c r="AQ85" s="662"/>
      <c r="AR85" s="662"/>
      <c r="AS85" s="662"/>
      <c r="AT85" s="662"/>
      <c r="AU85" s="662"/>
    </row>
    <row r="86" s="625" customFormat="1" ht="22" customHeight="1" spans="1:47">
      <c r="O86" s="961"/>
      <c r="T86" s="932"/>
      <c r="U86" s="932"/>
      <c r="V86" s="932"/>
      <c r="W86" s="932"/>
      <c r="X86" s="857"/>
      <c r="Y86" s="718"/>
      <c r="Z86" s="718"/>
      <c r="AA86" s="958"/>
      <c r="AB86" s="98"/>
      <c r="AC86" s="98"/>
      <c r="AD86" s="98"/>
      <c r="AE86" s="718"/>
      <c r="AF86" s="718"/>
      <c r="AG86" s="959"/>
      <c r="AH86" s="960"/>
      <c r="AI86" s="98"/>
      <c r="AJ86" s="98"/>
      <c r="AK86" s="100"/>
      <c r="AL86" s="718"/>
      <c r="AM86" s="718"/>
      <c r="AN86" s="718"/>
      <c r="AO86" s="718"/>
      <c r="AP86" s="662"/>
      <c r="AQ86" s="662"/>
      <c r="AR86" s="662"/>
      <c r="AS86" s="662"/>
      <c r="AT86" s="662"/>
      <c r="AU86" s="662"/>
    </row>
    <row r="87" s="625" customFormat="1" ht="22" customHeight="1" spans="1:47">
      <c r="A87"/>
      <c r="B87"/>
      <c r="C87"/>
      <c r="D87"/>
      <c r="E87"/>
      <c r="F87"/>
      <c r="G87"/>
      <c r="H87"/>
      <c r="I87"/>
      <c r="O87" s="961"/>
      <c r="T87" s="932"/>
      <c r="U87" s="932"/>
      <c r="V87" s="932"/>
      <c r="W87" s="932"/>
      <c r="X87" s="857"/>
      <c r="Y87" s="718"/>
      <c r="Z87" s="718"/>
      <c r="AA87" s="958"/>
      <c r="AB87" s="98"/>
      <c r="AC87" s="98"/>
      <c r="AD87" s="975"/>
      <c r="AE87" s="718"/>
      <c r="AF87" s="718"/>
      <c r="AG87" s="959"/>
      <c r="AH87" s="960"/>
      <c r="AI87" s="98"/>
      <c r="AJ87" s="98"/>
      <c r="AK87" s="100"/>
      <c r="AL87" s="718"/>
      <c r="AM87" s="718"/>
      <c r="AN87" s="696"/>
      <c r="AO87" s="718"/>
      <c r="AP87" s="662"/>
      <c r="AQ87" s="662"/>
      <c r="AR87" s="662"/>
      <c r="AS87" s="662"/>
      <c r="AT87" s="662"/>
      <c r="AU87" s="662"/>
    </row>
    <row r="88" s="625" customFormat="1" ht="22" customHeight="1" spans="1:47">
      <c r="A88"/>
      <c r="B88"/>
      <c r="C88"/>
      <c r="D88"/>
      <c r="E88"/>
      <c r="F88"/>
      <c r="G88"/>
      <c r="H88"/>
      <c r="I88"/>
      <c r="O88" s="961"/>
      <c r="T88" s="932"/>
      <c r="U88" s="932"/>
      <c r="V88" s="932"/>
      <c r="W88" s="932"/>
      <c r="X88" s="857"/>
      <c r="Y88" s="718"/>
      <c r="Z88" s="718"/>
      <c r="AA88" s="958"/>
      <c r="AB88" s="98"/>
      <c r="AC88" s="98"/>
      <c r="AD88" s="975"/>
      <c r="AE88" s="718"/>
      <c r="AF88" s="718"/>
      <c r="AG88" s="959"/>
      <c r="AH88" s="960"/>
      <c r="AI88" s="98"/>
      <c r="AJ88" s="98"/>
      <c r="AK88" s="100"/>
      <c r="AL88" s="718"/>
      <c r="AM88" s="718"/>
      <c r="AN88" s="696"/>
      <c r="AO88" s="718"/>
      <c r="AP88" s="662"/>
      <c r="AQ88" s="662"/>
      <c r="AR88" s="662"/>
      <c r="AS88" s="662"/>
      <c r="AT88" s="662"/>
      <c r="AU88" s="662"/>
    </row>
    <row r="89" s="625" customFormat="1" ht="22" customHeight="1" spans="1:47">
      <c r="A89"/>
      <c r="B89"/>
      <c r="C89"/>
      <c r="D89"/>
      <c r="E89"/>
      <c r="F89"/>
      <c r="G89"/>
      <c r="H89"/>
      <c r="I89"/>
      <c r="O89" s="961"/>
      <c r="T89" s="932"/>
      <c r="U89" s="932"/>
      <c r="V89" s="932"/>
      <c r="W89" s="932"/>
      <c r="X89" s="857"/>
      <c r="Y89" s="718"/>
      <c r="Z89" s="718"/>
      <c r="AA89" s="958"/>
      <c r="AB89" s="98"/>
      <c r="AC89" s="98"/>
      <c r="AD89" s="98"/>
      <c r="AE89" s="718"/>
      <c r="AF89" s="718"/>
      <c r="AG89" s="959"/>
      <c r="AH89" s="960"/>
      <c r="AI89" s="98"/>
      <c r="AJ89" s="98"/>
      <c r="AK89" s="100"/>
      <c r="AL89" s="718"/>
      <c r="AM89" s="718"/>
      <c r="AN89" s="718"/>
      <c r="AO89" s="718"/>
      <c r="AP89" s="662"/>
      <c r="AQ89" s="662"/>
      <c r="AR89" s="662"/>
      <c r="AS89" s="662"/>
      <c r="AT89" s="662"/>
      <c r="AU89" s="662"/>
    </row>
    <row r="90" s="625" customFormat="1" ht="22" customHeight="1" spans="1:47">
      <c r="A90"/>
      <c r="B90"/>
      <c r="C90"/>
      <c r="D90"/>
      <c r="E90"/>
      <c r="F90"/>
      <c r="G90"/>
      <c r="H90"/>
      <c r="I90"/>
      <c r="O90" s="961"/>
      <c r="T90" s="932"/>
      <c r="U90" s="932"/>
      <c r="V90" s="932"/>
      <c r="W90" s="932"/>
      <c r="X90" s="857"/>
      <c r="Y90" s="787"/>
      <c r="Z90" s="718"/>
      <c r="AA90" s="958"/>
      <c r="AB90" s="98"/>
      <c r="AC90" s="98"/>
      <c r="AD90" s="98"/>
      <c r="AE90" s="976"/>
      <c r="AF90" s="718"/>
      <c r="AG90" s="959"/>
      <c r="AH90" s="960"/>
      <c r="AI90" s="98"/>
      <c r="AJ90" s="98"/>
      <c r="AK90" s="100"/>
      <c r="AL90" s="718"/>
      <c r="AM90" s="718"/>
      <c r="AN90" s="718"/>
      <c r="AO90" s="718"/>
      <c r="AP90" s="662"/>
      <c r="AQ90" s="662"/>
      <c r="AR90" s="662"/>
      <c r="AS90" s="662"/>
      <c r="AT90" s="662"/>
      <c r="AU90" s="662"/>
    </row>
    <row r="91" s="625" customFormat="1" ht="22" customHeight="1" spans="1:47">
      <c r="A91"/>
      <c r="B91"/>
      <c r="C91"/>
      <c r="D91"/>
      <c r="E91"/>
      <c r="F91"/>
      <c r="G91"/>
      <c r="H91"/>
      <c r="I91"/>
      <c r="O91" s="961"/>
      <c r="T91" s="932"/>
      <c r="U91" s="932"/>
      <c r="V91" s="932"/>
      <c r="W91" s="932"/>
      <c r="X91" s="857"/>
      <c r="Y91" s="977"/>
      <c r="Z91" s="718"/>
      <c r="AA91" s="958"/>
      <c r="AB91" s="98"/>
      <c r="AC91" s="98"/>
      <c r="AD91" s="98"/>
      <c r="AE91" s="978"/>
      <c r="AF91" s="718"/>
      <c r="AG91" s="959"/>
      <c r="AH91" s="960"/>
      <c r="AI91" s="98"/>
      <c r="AJ91" s="98"/>
      <c r="AK91" s="100"/>
      <c r="AL91" s="718"/>
      <c r="AM91" s="718"/>
      <c r="AN91" s="696"/>
      <c r="AO91" s="718"/>
      <c r="AP91" s="662"/>
      <c r="AQ91" s="662"/>
      <c r="AR91" s="662"/>
      <c r="AS91" s="662"/>
      <c r="AT91" s="662"/>
      <c r="AU91" s="662"/>
    </row>
    <row r="92" s="625" customFormat="1" ht="22" customHeight="1" spans="1:47">
      <c r="A92"/>
      <c r="B92"/>
      <c r="C92"/>
      <c r="D92"/>
      <c r="E92"/>
      <c r="F92"/>
      <c r="G92"/>
      <c r="H92"/>
      <c r="I92"/>
      <c r="O92" s="961"/>
      <c r="T92" s="932"/>
      <c r="U92" s="932"/>
      <c r="V92" s="932"/>
      <c r="W92" s="932"/>
      <c r="X92" s="697"/>
      <c r="Y92" s="718"/>
      <c r="Z92" s="718"/>
      <c r="AA92" s="958"/>
      <c r="AB92" s="98"/>
      <c r="AC92" s="98"/>
      <c r="AD92" s="98"/>
      <c r="AE92" s="976"/>
      <c r="AF92" s="718"/>
      <c r="AG92" s="959"/>
      <c r="AH92" s="960"/>
      <c r="AI92" s="98"/>
      <c r="AJ92" s="98"/>
      <c r="AK92" s="100"/>
      <c r="AL92" s="718"/>
      <c r="AM92" s="718"/>
      <c r="AN92" s="718"/>
      <c r="AO92" s="718"/>
      <c r="AP92" s="662"/>
      <c r="AQ92" s="662"/>
      <c r="AR92" s="662"/>
      <c r="AS92" s="662"/>
      <c r="AT92" s="662"/>
      <c r="AU92" s="662"/>
    </row>
    <row r="93" s="625" customFormat="1" ht="22" customHeight="1" spans="1:47">
      <c r="A93"/>
      <c r="B93"/>
      <c r="C93"/>
      <c r="D93"/>
      <c r="E93"/>
      <c r="F93"/>
      <c r="G93"/>
      <c r="H93"/>
      <c r="I93"/>
      <c r="O93" s="961"/>
      <c r="T93" s="932"/>
      <c r="U93" s="932"/>
      <c r="V93" s="932"/>
      <c r="W93" s="932"/>
      <c r="X93" s="865"/>
      <c r="Y93" s="718"/>
      <c r="Z93" s="718"/>
      <c r="AA93" s="979"/>
      <c r="AB93" s="980"/>
      <c r="AC93" s="980"/>
      <c r="AD93" s="980"/>
      <c r="AE93" s="976"/>
      <c r="AF93" s="718"/>
      <c r="AG93" s="665"/>
      <c r="AH93" s="981"/>
      <c r="AI93" s="980"/>
      <c r="AJ93" s="980"/>
      <c r="AK93" s="982"/>
      <c r="AL93" s="718"/>
      <c r="AM93" s="718"/>
      <c r="AN93" s="718"/>
      <c r="AO93" s="718"/>
      <c r="AP93" s="662"/>
      <c r="AQ93" s="662"/>
      <c r="AR93" s="662"/>
      <c r="AS93" s="662"/>
      <c r="AT93" s="662"/>
      <c r="AU93" s="662"/>
    </row>
    <row r="94" s="625" customFormat="1" ht="22" customHeight="1" spans="1:47">
      <c r="A94"/>
      <c r="B94"/>
      <c r="C94"/>
      <c r="D94"/>
      <c r="E94"/>
      <c r="F94"/>
      <c r="G94"/>
      <c r="H94"/>
      <c r="I94"/>
      <c r="O94" s="961"/>
      <c r="T94" s="932"/>
      <c r="U94" s="932"/>
      <c r="V94" s="932"/>
      <c r="W94" s="932"/>
      <c r="X94" s="865"/>
      <c r="Y94" s="718"/>
      <c r="Z94" s="718"/>
      <c r="AA94" s="979"/>
      <c r="AB94" s="980"/>
      <c r="AC94" s="980"/>
      <c r="AD94" s="980"/>
      <c r="AE94" s="718"/>
      <c r="AF94" s="718"/>
      <c r="AG94" s="665"/>
      <c r="AH94" s="981"/>
      <c r="AI94" s="980"/>
      <c r="AJ94" s="980"/>
      <c r="AK94" s="982"/>
      <c r="AL94" s="718"/>
      <c r="AM94" s="696"/>
      <c r="AN94" s="696"/>
      <c r="AO94" s="718"/>
      <c r="AP94" s="662"/>
      <c r="AQ94" s="662"/>
      <c r="AR94" s="662"/>
      <c r="AS94" s="662"/>
      <c r="AT94" s="662"/>
      <c r="AU94" s="662"/>
    </row>
    <row r="95" s="625" customFormat="1" ht="22" customHeight="1" spans="1:47">
      <c r="A95"/>
      <c r="B95"/>
      <c r="C95"/>
      <c r="D95"/>
      <c r="E95"/>
      <c r="F95"/>
      <c r="G95"/>
      <c r="H95"/>
      <c r="I95"/>
      <c r="O95" s="961"/>
      <c r="T95" s="932"/>
      <c r="U95" s="932"/>
      <c r="V95" s="932"/>
      <c r="W95" s="932"/>
      <c r="X95" s="865"/>
      <c r="Y95" s="718"/>
      <c r="Z95" s="718"/>
      <c r="AA95" s="979"/>
      <c r="AB95" s="980"/>
      <c r="AC95" s="980"/>
      <c r="AD95" s="980"/>
      <c r="AE95" s="718"/>
      <c r="AF95" s="718"/>
      <c r="AG95" s="665"/>
      <c r="AH95" s="981"/>
      <c r="AI95" s="980"/>
      <c r="AJ95" s="983"/>
      <c r="AK95" s="982"/>
      <c r="AL95" s="718"/>
      <c r="AM95" s="718"/>
      <c r="AN95" s="718"/>
      <c r="AO95" s="718"/>
      <c r="AP95" s="662"/>
      <c r="AQ95" s="662"/>
      <c r="AR95" s="662"/>
      <c r="AS95" s="662"/>
      <c r="AT95" s="662"/>
      <c r="AU95" s="662"/>
    </row>
    <row r="96" s="625" customFormat="1" ht="22" customHeight="1" spans="1:47">
      <c r="A96"/>
      <c r="B96"/>
      <c r="C96"/>
      <c r="D96"/>
      <c r="E96"/>
      <c r="F96"/>
      <c r="G96"/>
      <c r="H96"/>
      <c r="I96"/>
      <c r="O96" s="961"/>
      <c r="T96" s="932"/>
      <c r="U96" s="932"/>
      <c r="V96" s="932"/>
      <c r="W96" s="932"/>
      <c r="X96" s="865"/>
      <c r="Y96" s="718"/>
      <c r="Z96" s="718"/>
      <c r="AA96" s="979"/>
      <c r="AB96" s="980"/>
      <c r="AC96" s="980"/>
      <c r="AD96" s="980"/>
      <c r="AE96" s="718"/>
      <c r="AF96" s="718"/>
      <c r="AG96" s="665"/>
      <c r="AH96" s="981"/>
      <c r="AI96" s="980"/>
      <c r="AJ96" s="980"/>
      <c r="AK96" s="982"/>
      <c r="AL96" s="718"/>
      <c r="AM96" s="718"/>
      <c r="AN96" s="718"/>
      <c r="AO96" s="718"/>
      <c r="AP96" s="662"/>
      <c r="AQ96" s="662"/>
      <c r="AR96" s="662"/>
      <c r="AS96" s="662"/>
      <c r="AT96" s="662"/>
      <c r="AU96" s="662"/>
    </row>
    <row r="97" s="625" customFormat="1" ht="22" customHeight="1" spans="1:47">
      <c r="A97"/>
      <c r="B97"/>
      <c r="C97"/>
      <c r="D97"/>
      <c r="E97"/>
      <c r="F97"/>
      <c r="G97"/>
      <c r="H97"/>
      <c r="I97"/>
      <c r="O97" s="961"/>
      <c r="T97" s="932"/>
      <c r="U97" s="932"/>
      <c r="V97" s="932"/>
      <c r="W97" s="932"/>
      <c r="X97" s="865"/>
      <c r="Y97" s="718"/>
      <c r="Z97" s="718"/>
      <c r="AA97" s="979"/>
      <c r="AB97" s="980"/>
      <c r="AC97" s="980"/>
      <c r="AD97" s="980"/>
      <c r="AE97" s="718"/>
      <c r="AF97" s="718"/>
      <c r="AG97" s="665"/>
      <c r="AH97" s="981"/>
      <c r="AI97" s="981"/>
      <c r="AJ97" s="980"/>
      <c r="AK97" s="982"/>
      <c r="AL97" s="718"/>
      <c r="AM97" s="718"/>
      <c r="AN97" s="718"/>
      <c r="AO97" s="718"/>
      <c r="AP97" s="662"/>
      <c r="AQ97" s="662"/>
      <c r="AR97" s="662"/>
      <c r="AS97" s="662"/>
      <c r="AT97" s="662"/>
      <c r="AU97" s="662"/>
    </row>
    <row r="98" s="625" customFormat="1" ht="22" customHeight="1" spans="1:47">
      <c r="A98"/>
      <c r="B98"/>
      <c r="C98"/>
      <c r="D98"/>
      <c r="E98"/>
      <c r="F98"/>
      <c r="G98"/>
      <c r="H98"/>
      <c r="I98"/>
      <c r="O98" s="961"/>
      <c r="T98" s="932"/>
      <c r="U98" s="932"/>
      <c r="V98" s="932"/>
      <c r="W98" s="932"/>
      <c r="X98" s="865"/>
      <c r="Y98" s="718"/>
      <c r="Z98" s="718"/>
      <c r="AA98" s="979"/>
      <c r="AB98" s="980"/>
      <c r="AC98" s="980"/>
      <c r="AD98" s="980"/>
      <c r="AE98" s="718"/>
      <c r="AF98" s="718"/>
      <c r="AG98" s="665"/>
      <c r="AH98" s="981"/>
      <c r="AI98" s="981"/>
      <c r="AJ98" s="980"/>
      <c r="AK98" s="982"/>
      <c r="AL98" s="718"/>
      <c r="AM98" s="718"/>
      <c r="AN98" s="718"/>
      <c r="AO98" s="718"/>
      <c r="AP98" s="662"/>
      <c r="AQ98" s="662"/>
      <c r="AR98" s="662"/>
      <c r="AS98" s="662"/>
      <c r="AT98" s="662"/>
      <c r="AU98" s="662"/>
    </row>
    <row r="99" s="625" customFormat="1" ht="22" customHeight="1" spans="1:47">
      <c r="A99"/>
      <c r="B99"/>
      <c r="C99"/>
      <c r="D99"/>
      <c r="E99"/>
      <c r="F99"/>
      <c r="G99"/>
      <c r="H99"/>
      <c r="I99"/>
      <c r="O99" s="961"/>
      <c r="T99" s="932"/>
      <c r="U99" s="932"/>
      <c r="V99" s="932"/>
      <c r="W99" s="932"/>
      <c r="X99" s="865"/>
      <c r="Y99" s="718"/>
      <c r="Z99" s="718"/>
      <c r="AA99" s="979"/>
      <c r="AB99" s="980"/>
      <c r="AC99" s="980"/>
      <c r="AD99" s="980"/>
      <c r="AE99" s="718"/>
      <c r="AF99" s="718"/>
      <c r="AG99" s="665"/>
      <c r="AH99" s="981"/>
      <c r="AI99" s="980"/>
      <c r="AJ99" s="980"/>
      <c r="AK99" s="982"/>
      <c r="AL99" s="718"/>
      <c r="AM99" s="718"/>
      <c r="AN99" s="718"/>
      <c r="AO99" s="718"/>
      <c r="AP99" s="662"/>
      <c r="AQ99" s="662"/>
      <c r="AR99" s="662"/>
      <c r="AS99" s="662"/>
      <c r="AT99" s="662"/>
      <c r="AU99" s="662"/>
    </row>
    <row r="100" s="625" customFormat="1" ht="22" customHeight="1" spans="1:47">
      <c r="A100"/>
      <c r="B100"/>
      <c r="C100"/>
      <c r="D100"/>
      <c r="E100"/>
      <c r="F100"/>
      <c r="G100"/>
      <c r="H100"/>
      <c r="I100"/>
      <c r="O100" s="961"/>
      <c r="T100" s="932"/>
      <c r="U100" s="932"/>
      <c r="V100" s="932"/>
      <c r="W100" s="932"/>
      <c r="X100" s="865"/>
      <c r="Y100" s="718"/>
      <c r="Z100" s="718"/>
      <c r="AA100" s="979"/>
      <c r="AB100" s="980"/>
      <c r="AC100" s="980"/>
      <c r="AD100" s="980"/>
      <c r="AE100" s="718"/>
      <c r="AF100" s="718"/>
      <c r="AG100" s="665"/>
      <c r="AH100" s="981"/>
      <c r="AI100" s="980"/>
      <c r="AJ100" s="980"/>
      <c r="AK100" s="982"/>
      <c r="AL100" s="718"/>
      <c r="AM100" s="718"/>
      <c r="AN100" s="718"/>
      <c r="AO100" s="718"/>
      <c r="AP100" s="662"/>
      <c r="AQ100" s="662"/>
      <c r="AR100" s="662"/>
      <c r="AS100" s="662"/>
      <c r="AT100" s="662"/>
      <c r="AU100" s="662"/>
    </row>
    <row r="101" s="625" customFormat="1" ht="22" customHeight="1" spans="1:47">
      <c r="A101"/>
      <c r="B101"/>
      <c r="C101"/>
      <c r="D101"/>
      <c r="E101"/>
      <c r="F101"/>
      <c r="G101"/>
      <c r="H101"/>
      <c r="I101"/>
      <c r="O101" s="961"/>
      <c r="T101" s="932"/>
      <c r="U101" s="932"/>
      <c r="V101" s="932"/>
      <c r="W101" s="932"/>
      <c r="X101" s="923"/>
      <c r="Y101" s="977"/>
      <c r="Z101" s="718"/>
      <c r="AA101" s="979"/>
      <c r="AB101" s="980"/>
      <c r="AC101" s="980"/>
      <c r="AD101" s="980"/>
      <c r="AE101" s="976"/>
      <c r="AF101" s="718"/>
      <c r="AG101" s="665"/>
      <c r="AH101" s="981"/>
      <c r="AI101" s="980"/>
      <c r="AJ101" s="980"/>
      <c r="AK101" s="982"/>
      <c r="AL101" s="718"/>
      <c r="AM101" s="718"/>
      <c r="AN101" s="718"/>
      <c r="AO101" s="718"/>
      <c r="AP101" s="662"/>
      <c r="AQ101" s="662"/>
      <c r="AR101" s="662"/>
      <c r="AS101" s="662"/>
      <c r="AT101" s="662"/>
      <c r="AU101" s="662"/>
    </row>
    <row r="102" s="625" customFormat="1" ht="22" customHeight="1" spans="1:47">
      <c r="A102"/>
      <c r="B102"/>
      <c r="C102"/>
      <c r="D102"/>
      <c r="E102"/>
      <c r="F102"/>
      <c r="G102"/>
      <c r="H102"/>
      <c r="I102"/>
      <c r="O102" s="961"/>
      <c r="T102" s="932"/>
      <c r="U102" s="932"/>
      <c r="V102" s="932"/>
      <c r="W102" s="932"/>
      <c r="X102" s="923"/>
      <c r="Y102" s="977"/>
      <c r="Z102" s="718"/>
      <c r="AA102" s="979"/>
      <c r="AB102" s="980"/>
      <c r="AC102" s="980"/>
      <c r="AD102" s="980"/>
      <c r="AE102" s="976"/>
      <c r="AF102" s="718"/>
      <c r="AG102" s="665"/>
      <c r="AH102" s="981"/>
      <c r="AI102" s="980"/>
      <c r="AJ102" s="980"/>
      <c r="AK102" s="982"/>
      <c r="AL102" s="718"/>
      <c r="AM102" s="718"/>
      <c r="AN102" s="718"/>
      <c r="AO102" s="718"/>
      <c r="AP102" s="662"/>
      <c r="AQ102" s="662"/>
      <c r="AR102" s="662"/>
      <c r="AS102" s="662"/>
      <c r="AT102" s="662"/>
      <c r="AU102" s="662"/>
    </row>
    <row r="103" s="625" customFormat="1" ht="22" customHeight="1" spans="1:47">
      <c r="A103"/>
      <c r="B103"/>
      <c r="C103"/>
      <c r="D103"/>
      <c r="E103"/>
      <c r="F103"/>
      <c r="G103"/>
      <c r="H103"/>
      <c r="I103"/>
      <c r="O103" s="961"/>
      <c r="T103" s="932"/>
      <c r="U103" s="932"/>
      <c r="V103" s="932"/>
      <c r="W103" s="932"/>
      <c r="X103" s="923"/>
      <c r="Y103" s="977"/>
      <c r="Z103" s="718"/>
      <c r="AA103" s="979"/>
      <c r="AB103" s="980"/>
      <c r="AC103" s="980"/>
      <c r="AD103" s="980"/>
      <c r="AE103" s="978"/>
      <c r="AF103" s="718"/>
      <c r="AG103" s="665"/>
      <c r="AH103" s="981"/>
      <c r="AI103" s="980"/>
      <c r="AJ103" s="980"/>
      <c r="AK103" s="982"/>
      <c r="AL103" s="718"/>
      <c r="AM103" s="718"/>
      <c r="AN103" s="718"/>
      <c r="AO103" s="718"/>
      <c r="AP103" s="662"/>
      <c r="AQ103" s="662"/>
      <c r="AR103" s="662"/>
      <c r="AS103" s="662"/>
      <c r="AT103" s="662"/>
      <c r="AU103" s="662"/>
    </row>
    <row r="104" s="625" customFormat="1" ht="22" customHeight="1" spans="1:47">
      <c r="A104"/>
      <c r="B104"/>
      <c r="C104"/>
      <c r="D104"/>
      <c r="E104"/>
      <c r="F104"/>
      <c r="G104"/>
      <c r="H104"/>
      <c r="I104"/>
      <c r="O104" s="961"/>
      <c r="T104" s="932"/>
      <c r="U104" s="932"/>
      <c r="V104" s="932"/>
      <c r="W104" s="932"/>
      <c r="X104" s="923"/>
      <c r="Y104" s="787"/>
      <c r="Z104" s="718"/>
      <c r="AA104" s="979"/>
      <c r="AB104" s="980"/>
      <c r="AC104" s="980"/>
      <c r="AD104" s="980"/>
      <c r="AE104" s="978"/>
      <c r="AF104" s="718"/>
      <c r="AG104" s="665"/>
      <c r="AH104" s="981"/>
      <c r="AI104" s="980"/>
      <c r="AJ104" s="980"/>
      <c r="AK104" s="982"/>
      <c r="AL104" s="718"/>
      <c r="AM104" s="718"/>
      <c r="AN104" s="718"/>
      <c r="AO104" s="718"/>
      <c r="AP104" s="662"/>
      <c r="AQ104" s="662"/>
      <c r="AR104" s="662"/>
      <c r="AS104" s="662"/>
      <c r="AT104" s="662"/>
      <c r="AU104" s="662"/>
    </row>
    <row r="105" s="625" customFormat="1" ht="22" customHeight="1" spans="1:47">
      <c r="A105"/>
      <c r="B105"/>
      <c r="C105"/>
      <c r="D105"/>
      <c r="E105"/>
      <c r="F105"/>
      <c r="G105"/>
      <c r="H105"/>
      <c r="I105"/>
      <c r="O105" s="961"/>
      <c r="T105" s="932"/>
      <c r="U105" s="932"/>
      <c r="V105" s="932"/>
      <c r="W105" s="932"/>
      <c r="X105" s="923"/>
      <c r="Y105" s="718"/>
      <c r="Z105" s="718"/>
      <c r="AA105" s="979"/>
      <c r="AB105" s="980"/>
      <c r="AC105" s="980"/>
      <c r="AD105" s="980"/>
      <c r="AE105" s="976"/>
      <c r="AF105" s="718"/>
      <c r="AG105" s="665"/>
      <c r="AH105" s="981"/>
      <c r="AI105" s="980"/>
      <c r="AJ105" s="980"/>
      <c r="AK105" s="982"/>
      <c r="AL105" s="718"/>
      <c r="AM105" s="718"/>
      <c r="AN105" s="718"/>
      <c r="AO105" s="718"/>
      <c r="AP105" s="662"/>
      <c r="AQ105" s="662"/>
      <c r="AR105" s="662"/>
      <c r="AS105" s="662"/>
      <c r="AT105" s="662"/>
      <c r="AU105" s="662"/>
    </row>
    <row r="106" s="625" customFormat="1" ht="22" customHeight="1" spans="1:47">
      <c r="A106"/>
      <c r="B106"/>
      <c r="C106"/>
      <c r="D106"/>
      <c r="E106"/>
      <c r="F106"/>
      <c r="G106"/>
      <c r="H106"/>
      <c r="I106"/>
      <c r="O106" s="961"/>
      <c r="T106" s="932"/>
      <c r="U106" s="932"/>
      <c r="V106" s="932"/>
      <c r="W106" s="932"/>
      <c r="X106" s="923"/>
      <c r="Y106" s="977"/>
      <c r="Z106" s="718"/>
      <c r="AA106" s="979"/>
      <c r="AB106" s="980"/>
      <c r="AC106" s="980"/>
      <c r="AD106" s="980"/>
      <c r="AE106" s="976"/>
      <c r="AF106" s="718"/>
      <c r="AG106" s="665"/>
      <c r="AH106" s="984"/>
      <c r="AI106" s="984"/>
      <c r="AJ106" s="980"/>
      <c r="AK106" s="982"/>
      <c r="AL106" s="718"/>
      <c r="AM106" s="718"/>
      <c r="AN106" s="718"/>
      <c r="AO106" s="718"/>
      <c r="AP106" s="662"/>
      <c r="AQ106" s="662"/>
      <c r="AR106" s="662"/>
      <c r="AS106" s="662"/>
      <c r="AT106" s="662"/>
      <c r="AU106" s="662"/>
    </row>
    <row r="107" s="625" customFormat="1" ht="22" customHeight="1" spans="1:47">
      <c r="A107"/>
      <c r="B107"/>
      <c r="C107"/>
      <c r="D107"/>
      <c r="E107"/>
      <c r="F107"/>
      <c r="G107"/>
      <c r="H107"/>
      <c r="I107"/>
      <c r="O107" s="961"/>
      <c r="T107" s="932"/>
      <c r="U107" s="932"/>
      <c r="V107" s="932"/>
      <c r="W107" s="932"/>
      <c r="X107" s="759"/>
      <c r="Y107" s="977"/>
      <c r="Z107" s="718"/>
      <c r="AA107" s="979"/>
      <c r="AB107" s="980"/>
      <c r="AC107" s="980"/>
      <c r="AD107" s="980"/>
      <c r="AE107" s="976"/>
      <c r="AF107" s="718"/>
      <c r="AG107" s="665"/>
      <c r="AH107" s="984"/>
      <c r="AI107" s="984"/>
      <c r="AJ107" s="980"/>
      <c r="AK107" s="982"/>
      <c r="AL107" s="718"/>
      <c r="AM107" s="718"/>
      <c r="AN107" s="718"/>
      <c r="AO107" s="718"/>
      <c r="AP107" s="662"/>
      <c r="AQ107" s="662"/>
      <c r="AR107" s="662"/>
      <c r="AS107" s="662"/>
      <c r="AT107" s="662"/>
      <c r="AU107" s="662"/>
    </row>
    <row r="108" s="625" customFormat="1" ht="22" customHeight="1" spans="1:47">
      <c r="A108"/>
      <c r="B108"/>
      <c r="C108"/>
      <c r="D108"/>
      <c r="E108"/>
      <c r="F108"/>
      <c r="G108"/>
      <c r="H108"/>
      <c r="I108"/>
      <c r="O108" s="961"/>
      <c r="T108" s="932"/>
      <c r="U108" s="932"/>
      <c r="V108" s="932"/>
      <c r="W108" s="932"/>
      <c r="X108" s="923"/>
      <c r="Y108" s="977"/>
      <c r="Z108" s="718"/>
      <c r="AA108" s="979"/>
      <c r="AB108" s="980"/>
      <c r="AC108" s="980"/>
      <c r="AD108" s="980"/>
      <c r="AE108" s="976"/>
      <c r="AF108" s="718"/>
      <c r="AG108" s="665"/>
      <c r="AH108" s="984"/>
      <c r="AI108" s="984"/>
      <c r="AJ108" s="980"/>
      <c r="AK108" s="982"/>
      <c r="AL108" s="718"/>
      <c r="AM108" s="718"/>
      <c r="AN108" s="718"/>
      <c r="AO108" s="718"/>
      <c r="AP108" s="662"/>
      <c r="AQ108" s="662"/>
      <c r="AR108" s="662"/>
      <c r="AS108" s="662"/>
      <c r="AT108" s="662"/>
      <c r="AU108" s="662"/>
    </row>
    <row r="109" s="625" customFormat="1" ht="22" customHeight="1" spans="1:47">
      <c r="A109"/>
      <c r="B109"/>
      <c r="C109"/>
      <c r="D109"/>
      <c r="E109"/>
      <c r="F109"/>
      <c r="G109"/>
      <c r="H109"/>
      <c r="I109"/>
      <c r="O109" s="961"/>
      <c r="T109" s="932"/>
      <c r="U109" s="932"/>
      <c r="V109" s="932"/>
      <c r="W109" s="932"/>
      <c r="X109" s="923"/>
      <c r="Y109" s="977"/>
      <c r="Z109" s="718"/>
      <c r="AA109" s="979"/>
      <c r="AB109" s="980"/>
      <c r="AC109" s="980"/>
      <c r="AD109" s="980"/>
      <c r="AE109" s="976"/>
      <c r="AF109" s="718"/>
      <c r="AG109" s="665"/>
      <c r="AH109" s="984"/>
      <c r="AI109" s="984"/>
      <c r="AJ109" s="980"/>
      <c r="AK109" s="982"/>
      <c r="AL109" s="718"/>
      <c r="AM109" s="718"/>
      <c r="AN109" s="718"/>
      <c r="AO109" s="662"/>
      <c r="AP109" s="662"/>
      <c r="AQ109" s="662"/>
      <c r="AR109" s="662"/>
      <c r="AS109" s="662"/>
      <c r="AT109" s="662"/>
      <c r="AU109" s="662"/>
    </row>
    <row r="110" s="625" customFormat="1" ht="22" customHeight="1" spans="1:47">
      <c r="A110"/>
      <c r="B110"/>
      <c r="C110"/>
      <c r="D110"/>
      <c r="E110"/>
      <c r="F110"/>
      <c r="G110"/>
      <c r="H110"/>
      <c r="I110"/>
      <c r="O110" s="961"/>
      <c r="T110" s="932"/>
      <c r="U110" s="932"/>
      <c r="V110" s="932"/>
      <c r="W110" s="932"/>
      <c r="X110" s="923"/>
      <c r="Y110" s="977"/>
      <c r="Z110" s="718"/>
      <c r="AA110" s="787"/>
      <c r="AB110" s="696"/>
      <c r="AC110" s="696"/>
      <c r="AD110" s="662"/>
      <c r="AE110" s="976"/>
      <c r="AF110" s="718"/>
      <c r="AG110" s="718"/>
      <c r="AH110" s="985"/>
      <c r="AI110" s="662"/>
      <c r="AJ110" s="718"/>
      <c r="AK110" s="719"/>
      <c r="AL110" s="718"/>
      <c r="AM110" s="718"/>
      <c r="AN110" s="718"/>
      <c r="AO110" s="662"/>
      <c r="AP110" s="662"/>
      <c r="AQ110" s="662"/>
      <c r="AR110" s="662"/>
      <c r="AS110" s="662"/>
      <c r="AT110" s="662"/>
      <c r="AU110" s="662"/>
    </row>
    <row r="111" s="625" customFormat="1" ht="22" customHeight="1" spans="1:47">
      <c r="A111"/>
      <c r="B111"/>
      <c r="C111"/>
      <c r="D111"/>
      <c r="E111"/>
      <c r="F111"/>
      <c r="G111"/>
      <c r="H111"/>
      <c r="I111"/>
      <c r="O111" s="961"/>
      <c r="T111" s="932"/>
      <c r="U111" s="932"/>
      <c r="V111" s="932"/>
      <c r="W111" s="932"/>
      <c r="X111" s="923"/>
      <c r="Y111" s="977"/>
      <c r="Z111" s="718"/>
      <c r="AA111" s="787"/>
      <c r="AB111" s="895"/>
      <c r="AC111" s="895"/>
      <c r="AD111" s="662"/>
      <c r="AE111" s="976"/>
      <c r="AF111" s="986"/>
      <c r="AG111" s="718"/>
      <c r="AH111" s="987"/>
      <c r="AI111" s="987"/>
      <c r="AJ111" s="987"/>
      <c r="AK111" s="719"/>
      <c r="AL111" s="718"/>
      <c r="AM111" s="718"/>
      <c r="AN111" s="718"/>
      <c r="AO111" s="662"/>
      <c r="AP111" s="662"/>
      <c r="AQ111" s="662"/>
      <c r="AR111" s="662"/>
      <c r="AS111" s="662"/>
      <c r="AT111" s="662"/>
      <c r="AU111" s="662"/>
    </row>
    <row r="112" s="625" customFormat="1" ht="22" customHeight="1" spans="1:47">
      <c r="A112"/>
      <c r="B112"/>
      <c r="C112"/>
      <c r="D112"/>
      <c r="E112"/>
      <c r="F112"/>
      <c r="G112"/>
      <c r="H112"/>
      <c r="I112"/>
      <c r="O112" s="961"/>
      <c r="T112" s="932"/>
      <c r="U112" s="932"/>
      <c r="V112" s="932"/>
      <c r="W112" s="932"/>
      <c r="X112" s="923"/>
      <c r="Y112" s="718"/>
      <c r="Z112" s="718"/>
      <c r="AA112" s="787"/>
      <c r="AB112" s="696"/>
      <c r="AC112" s="718"/>
      <c r="AD112" s="662"/>
      <c r="AE112" s="976"/>
      <c r="AF112" s="718"/>
      <c r="AG112" s="718"/>
      <c r="AH112" s="985"/>
      <c r="AI112" s="662"/>
      <c r="AJ112" s="718"/>
      <c r="AK112" s="759"/>
      <c r="AL112" s="718"/>
      <c r="AM112" s="718"/>
      <c r="AN112" s="696"/>
      <c r="AO112" s="662"/>
      <c r="AP112" s="662"/>
      <c r="AQ112" s="662"/>
      <c r="AR112" s="662"/>
      <c r="AS112" s="662"/>
      <c r="AT112" s="662"/>
      <c r="AU112" s="662"/>
    </row>
    <row r="113" s="625" customFormat="1" ht="22" customHeight="1" spans="1:47">
      <c r="A113"/>
      <c r="B113"/>
      <c r="C113"/>
      <c r="D113"/>
      <c r="E113"/>
      <c r="F113"/>
      <c r="G113"/>
      <c r="H113"/>
      <c r="I113"/>
      <c r="O113" s="961"/>
      <c r="T113" s="932"/>
      <c r="U113" s="932"/>
      <c r="V113" s="932"/>
      <c r="W113" s="932"/>
      <c r="X113" s="923"/>
      <c r="Y113" s="718"/>
      <c r="Z113" s="718"/>
      <c r="AA113" s="787"/>
      <c r="AB113" s="696"/>
      <c r="AC113" s="718"/>
      <c r="AD113" s="662"/>
      <c r="AE113" s="976"/>
      <c r="AF113" s="718"/>
      <c r="AG113" s="718"/>
      <c r="AH113" s="985"/>
      <c r="AI113" s="662"/>
      <c r="AJ113" s="718"/>
      <c r="AK113" s="759"/>
      <c r="AL113" s="718"/>
      <c r="AM113" s="787"/>
      <c r="AN113" s="988"/>
      <c r="AO113" s="718"/>
      <c r="AP113" s="718"/>
      <c r="AQ113" s="718"/>
      <c r="AR113" s="662"/>
      <c r="AS113" s="662"/>
      <c r="AT113" s="662"/>
      <c r="AU113" s="662"/>
    </row>
    <row r="114" s="625" customFormat="1" ht="22" customHeight="1" spans="1:47">
      <c r="A114"/>
      <c r="B114"/>
      <c r="C114"/>
      <c r="D114"/>
      <c r="E114"/>
      <c r="F114"/>
      <c r="G114"/>
      <c r="H114"/>
      <c r="I114"/>
      <c r="O114" s="961"/>
      <c r="T114" s="932"/>
      <c r="U114" s="932"/>
      <c r="V114" s="932"/>
      <c r="W114" s="932"/>
      <c r="X114" s="923"/>
      <c r="Y114" s="718"/>
      <c r="Z114" s="718"/>
      <c r="AA114" s="787"/>
      <c r="AB114" s="696"/>
      <c r="AC114" s="718"/>
      <c r="AD114" s="662"/>
      <c r="AE114" s="976"/>
      <c r="AF114" s="718"/>
      <c r="AG114" s="718"/>
      <c r="AH114" s="985"/>
      <c r="AI114" s="662"/>
      <c r="AJ114" s="718"/>
      <c r="AK114" s="759"/>
      <c r="AL114" s="718"/>
      <c r="AM114" s="787"/>
      <c r="AN114" s="696"/>
      <c r="AO114" s="718"/>
      <c r="AP114" s="718"/>
      <c r="AQ114" s="718"/>
      <c r="AR114" s="662"/>
      <c r="AS114" s="662"/>
      <c r="AT114" s="662"/>
      <c r="AU114" s="662"/>
    </row>
    <row r="115" s="625" customFormat="1" ht="22" customHeight="1" spans="1:47">
      <c r="A115"/>
      <c r="B115"/>
      <c r="C115"/>
      <c r="D115"/>
      <c r="E115"/>
      <c r="F115"/>
      <c r="G115"/>
      <c r="H115"/>
      <c r="I115"/>
      <c r="O115" s="961"/>
      <c r="T115" s="932"/>
      <c r="U115" s="932"/>
      <c r="V115" s="932"/>
      <c r="W115" s="932"/>
      <c r="X115" s="923"/>
      <c r="Y115" s="718"/>
      <c r="Z115" s="718"/>
      <c r="AA115" s="787"/>
      <c r="AB115" s="696"/>
      <c r="AC115" s="718"/>
      <c r="AD115" s="662"/>
      <c r="AE115" s="976"/>
      <c r="AF115" s="718"/>
      <c r="AG115" s="718"/>
      <c r="AH115" s="985"/>
      <c r="AI115" s="662"/>
      <c r="AJ115" s="696"/>
      <c r="AK115" s="759"/>
      <c r="AL115" s="718"/>
      <c r="AM115" s="718"/>
      <c r="AN115" s="718"/>
      <c r="AO115" s="662"/>
      <c r="AP115" s="662"/>
      <c r="AQ115" s="662"/>
      <c r="AR115" s="662"/>
      <c r="AS115" s="662"/>
      <c r="AT115" s="662"/>
      <c r="AU115" s="662"/>
    </row>
    <row r="116" s="625" customFormat="1" ht="22" customHeight="1" spans="1:47">
      <c r="A116"/>
      <c r="B116"/>
      <c r="C116"/>
      <c r="D116"/>
      <c r="E116"/>
      <c r="F116"/>
      <c r="G116"/>
      <c r="H116"/>
      <c r="I116"/>
      <c r="O116" s="961"/>
      <c r="T116" s="932"/>
      <c r="U116" s="932"/>
      <c r="V116" s="932"/>
      <c r="W116" s="932"/>
      <c r="X116" s="923"/>
      <c r="Y116" s="718"/>
      <c r="Z116" s="718"/>
      <c r="AA116" s="787"/>
      <c r="AB116" s="696"/>
      <c r="AC116" s="718"/>
      <c r="AD116" s="662"/>
      <c r="AE116" s="976"/>
      <c r="AF116" s="718"/>
      <c r="AG116" s="718"/>
      <c r="AH116" s="985"/>
      <c r="AI116" s="662"/>
      <c r="AJ116" s="696"/>
      <c r="AK116" s="759"/>
      <c r="AL116" s="718"/>
      <c r="AM116" s="718"/>
      <c r="AN116" s="718"/>
      <c r="AO116" s="662"/>
      <c r="AP116" s="662"/>
      <c r="AQ116" s="662"/>
      <c r="AR116" s="662"/>
      <c r="AS116" s="662"/>
      <c r="AT116" s="662"/>
      <c r="AU116" s="662"/>
    </row>
    <row r="117" s="625" customFormat="1" ht="22" customHeight="1" spans="1:47">
      <c r="A117"/>
      <c r="B117"/>
      <c r="C117"/>
      <c r="D117"/>
      <c r="E117"/>
      <c r="F117"/>
      <c r="G117"/>
      <c r="H117"/>
      <c r="I117"/>
      <c r="O117" s="961"/>
      <c r="T117" s="932"/>
      <c r="U117" s="932"/>
      <c r="V117" s="932"/>
      <c r="W117" s="932"/>
      <c r="X117" s="923"/>
      <c r="Y117" s="718"/>
      <c r="Z117" s="718"/>
      <c r="AA117" s="787"/>
      <c r="AB117" s="696"/>
      <c r="AC117" s="718"/>
      <c r="AD117" s="662"/>
      <c r="AE117" s="976"/>
      <c r="AF117" s="718"/>
      <c r="AG117" s="718"/>
      <c r="AH117" s="985"/>
      <c r="AI117" s="662"/>
      <c r="AJ117" s="696"/>
      <c r="AK117" s="759"/>
      <c r="AL117" s="718"/>
      <c r="AM117" s="718"/>
      <c r="AN117" s="718"/>
      <c r="AO117" s="662"/>
      <c r="AP117" s="662"/>
      <c r="AQ117" s="662"/>
      <c r="AR117" s="662"/>
      <c r="AS117" s="662"/>
      <c r="AT117" s="662"/>
      <c r="AU117" s="662"/>
    </row>
    <row r="118" s="625" customFormat="1" ht="22" customHeight="1" spans="1:47">
      <c r="A118"/>
      <c r="B118"/>
      <c r="C118"/>
      <c r="D118"/>
      <c r="E118"/>
      <c r="F118"/>
      <c r="G118"/>
      <c r="H118"/>
      <c r="I118"/>
      <c r="O118" s="961"/>
      <c r="T118" s="932"/>
      <c r="U118" s="932"/>
      <c r="V118" s="932"/>
      <c r="W118" s="932"/>
      <c r="X118" s="923"/>
      <c r="Y118" s="718"/>
      <c r="Z118" s="718"/>
      <c r="AA118" s="787"/>
      <c r="AB118" s="696"/>
      <c r="AC118" s="718"/>
      <c r="AD118" s="662"/>
      <c r="AE118" s="976"/>
      <c r="AF118" s="718"/>
      <c r="AG118" s="718"/>
      <c r="AH118" s="985"/>
      <c r="AI118" s="662"/>
      <c r="AJ118" s="718"/>
      <c r="AK118" s="924"/>
      <c r="AL118" s="718"/>
      <c r="AM118" s="787"/>
      <c r="AN118" s="895"/>
      <c r="AO118" s="662"/>
      <c r="AP118" s="662"/>
      <c r="AQ118" s="662"/>
      <c r="AR118" s="662"/>
      <c r="AS118" s="662"/>
      <c r="AT118" s="662"/>
      <c r="AU118" s="662"/>
    </row>
    <row r="119" s="625" customFormat="1" ht="22" customHeight="1" spans="1:47">
      <c r="A119"/>
      <c r="B119"/>
      <c r="C119"/>
      <c r="D119"/>
      <c r="E119"/>
      <c r="F119"/>
      <c r="G119"/>
      <c r="H119"/>
      <c r="I119"/>
      <c r="O119" s="961"/>
      <c r="T119" s="932"/>
      <c r="U119" s="932"/>
      <c r="V119" s="932"/>
      <c r="W119" s="932"/>
      <c r="X119" s="923"/>
      <c r="Y119" s="718"/>
      <c r="Z119" s="718"/>
      <c r="AA119" s="787"/>
      <c r="AB119" s="696"/>
      <c r="AC119" s="718"/>
      <c r="AD119" s="662"/>
      <c r="AE119" s="976"/>
      <c r="AF119" s="718"/>
      <c r="AG119" s="718"/>
      <c r="AH119" s="985"/>
      <c r="AI119" s="662"/>
      <c r="AJ119" s="718"/>
      <c r="AK119" s="924"/>
      <c r="AL119" s="718"/>
      <c r="AM119" s="787"/>
      <c r="AN119" s="895"/>
      <c r="AO119" s="662"/>
      <c r="AP119" s="662"/>
      <c r="AQ119" s="662"/>
      <c r="AR119" s="662"/>
      <c r="AS119" s="662"/>
      <c r="AT119" s="662"/>
      <c r="AU119" s="662"/>
    </row>
    <row r="120" s="625" customFormat="1" ht="22" customHeight="1" spans="1:47">
      <c r="A120"/>
      <c r="B120"/>
      <c r="C120"/>
      <c r="D120"/>
      <c r="E120"/>
      <c r="F120"/>
      <c r="G120"/>
      <c r="H120"/>
      <c r="I120"/>
      <c r="O120" s="961"/>
      <c r="T120" s="932"/>
      <c r="U120" s="932"/>
      <c r="V120" s="932"/>
      <c r="W120" s="932"/>
      <c r="X120" s="923"/>
      <c r="Y120" s="718"/>
      <c r="Z120" s="718"/>
      <c r="AA120" s="787"/>
      <c r="AB120" s="696"/>
      <c r="AC120" s="718"/>
      <c r="AD120" s="662"/>
      <c r="AE120" s="976"/>
      <c r="AF120" s="718"/>
      <c r="AG120" s="718"/>
      <c r="AH120" s="985"/>
      <c r="AI120" s="662"/>
      <c r="AJ120" s="718"/>
      <c r="AK120" s="759"/>
      <c r="AL120" s="718"/>
      <c r="AM120" s="787"/>
      <c r="AN120" s="718"/>
      <c r="AO120" s="662"/>
      <c r="AP120" s="662"/>
      <c r="AQ120" s="662"/>
      <c r="AR120" s="662"/>
      <c r="AS120" s="662"/>
      <c r="AT120" s="662"/>
      <c r="AU120" s="662"/>
    </row>
    <row r="121" s="625" customFormat="1" ht="22" customHeight="1" spans="1:47">
      <c r="A121"/>
      <c r="B121"/>
      <c r="C121"/>
      <c r="D121"/>
      <c r="E121"/>
      <c r="F121"/>
      <c r="G121"/>
      <c r="H121"/>
      <c r="I121"/>
      <c r="O121" s="961"/>
      <c r="T121" s="932"/>
      <c r="U121" s="932"/>
      <c r="V121" s="932"/>
      <c r="W121" s="932"/>
      <c r="X121" s="923"/>
      <c r="Y121" s="718"/>
      <c r="Z121" s="718"/>
      <c r="AA121" s="787"/>
      <c r="AB121" s="696"/>
      <c r="AC121" s="718"/>
      <c r="AD121" s="662"/>
      <c r="AE121" s="976"/>
      <c r="AF121" s="718"/>
      <c r="AG121" s="718"/>
      <c r="AH121" s="985"/>
      <c r="AI121" s="662"/>
      <c r="AJ121" s="718"/>
      <c r="AK121" s="759"/>
      <c r="AL121" s="718"/>
      <c r="AM121" s="718"/>
      <c r="AN121" s="718"/>
      <c r="AO121" s="662"/>
      <c r="AP121" s="662"/>
      <c r="AQ121" s="662"/>
      <c r="AR121" s="662"/>
      <c r="AS121" s="662"/>
      <c r="AT121" s="662"/>
      <c r="AU121" s="662"/>
    </row>
    <row r="122" s="625" customFormat="1" ht="22" customHeight="1" spans="1:47">
      <c r="A122"/>
      <c r="B122"/>
      <c r="C122"/>
      <c r="D122"/>
      <c r="E122"/>
      <c r="F122"/>
      <c r="G122"/>
      <c r="H122"/>
      <c r="I122"/>
      <c r="O122" s="961"/>
      <c r="T122" s="932"/>
      <c r="U122" s="932"/>
      <c r="V122" s="932"/>
      <c r="W122" s="932"/>
      <c r="X122" s="923"/>
      <c r="Y122" s="718"/>
      <c r="Z122" s="718"/>
      <c r="AA122" s="787"/>
      <c r="AB122" s="696"/>
      <c r="AC122" s="718"/>
      <c r="AD122" s="662"/>
      <c r="AE122" s="976"/>
      <c r="AF122" s="718"/>
      <c r="AG122" s="718"/>
      <c r="AH122" s="985"/>
      <c r="AI122" s="662"/>
      <c r="AJ122" s="718"/>
      <c r="AK122" s="759"/>
      <c r="AL122" s="718"/>
      <c r="AM122" s="718"/>
      <c r="AN122" s="718"/>
      <c r="AO122" s="662"/>
      <c r="AP122" s="662"/>
      <c r="AQ122" s="662"/>
      <c r="AR122" s="662"/>
      <c r="AS122" s="662"/>
      <c r="AT122" s="662"/>
      <c r="AU122" s="662"/>
    </row>
    <row r="123" s="625" customFormat="1" ht="22" customHeight="1" spans="1:47">
      <c r="O123" s="961"/>
      <c r="T123" s="932"/>
      <c r="U123" s="932"/>
      <c r="V123" s="932"/>
      <c r="W123" s="932"/>
      <c r="X123" s="923"/>
      <c r="Y123" s="718"/>
      <c r="Z123" s="718"/>
      <c r="AA123" s="787"/>
      <c r="AB123" s="696"/>
      <c r="AC123" s="718"/>
      <c r="AD123" s="662"/>
      <c r="AE123" s="976"/>
      <c r="AF123" s="718"/>
      <c r="AG123" s="718"/>
      <c r="AH123" s="985"/>
      <c r="AI123" s="662"/>
      <c r="AJ123" s="718"/>
      <c r="AK123" s="759"/>
      <c r="AL123" s="718"/>
      <c r="AM123" s="718"/>
      <c r="AN123" s="718"/>
      <c r="AO123" s="662"/>
      <c r="AP123" s="662"/>
      <c r="AQ123" s="662"/>
      <c r="AR123" s="662"/>
      <c r="AS123" s="662"/>
      <c r="AT123" s="662"/>
      <c r="AU123" s="662"/>
    </row>
    <row r="124" s="625" customFormat="1" ht="22" customHeight="1" spans="1:47">
      <c r="O124" s="961"/>
      <c r="T124" s="932"/>
      <c r="U124" s="932"/>
      <c r="V124" s="932"/>
      <c r="W124" s="932"/>
      <c r="X124" s="923"/>
      <c r="Y124" s="718"/>
      <c r="Z124" s="718"/>
      <c r="AA124" s="787"/>
      <c r="AB124" s="696"/>
      <c r="AC124" s="718"/>
      <c r="AD124" s="662"/>
      <c r="AE124" s="976"/>
      <c r="AF124" s="718"/>
      <c r="AG124" s="718"/>
      <c r="AH124" s="985"/>
      <c r="AI124" s="662"/>
      <c r="AJ124" s="718"/>
      <c r="AK124" s="759"/>
      <c r="AL124" s="718"/>
      <c r="AM124" s="718"/>
      <c r="AN124" s="718"/>
      <c r="AO124" s="662"/>
      <c r="AP124" s="662"/>
      <c r="AQ124" s="662"/>
      <c r="AR124" s="662"/>
      <c r="AS124" s="662"/>
      <c r="AT124" s="662"/>
      <c r="AU124" s="662"/>
    </row>
    <row r="125" s="625" customFormat="1" ht="22" customHeight="1" spans="1:47">
      <c r="O125" s="961"/>
      <c r="T125" s="932"/>
      <c r="U125" s="932"/>
      <c r="V125" s="932"/>
      <c r="W125" s="932"/>
      <c r="X125" s="923"/>
      <c r="Y125" s="718"/>
      <c r="Z125" s="718"/>
      <c r="AA125" s="787"/>
      <c r="AB125" s="696"/>
      <c r="AC125" s="718"/>
      <c r="AD125" s="662"/>
      <c r="AE125" s="976"/>
      <c r="AF125" s="718"/>
      <c r="AG125" s="718"/>
      <c r="AH125" s="985"/>
      <c r="AI125" s="662"/>
      <c r="AJ125" s="718"/>
      <c r="AK125" s="759"/>
      <c r="AL125" s="718"/>
      <c r="AM125" s="718"/>
      <c r="AN125" s="718"/>
      <c r="AO125" s="662"/>
      <c r="AP125" s="662"/>
      <c r="AQ125" s="662"/>
      <c r="AR125" s="662"/>
      <c r="AS125" s="662"/>
      <c r="AT125" s="662"/>
      <c r="AU125" s="662"/>
    </row>
    <row r="126" s="625" customFormat="1" ht="22" customHeight="1" spans="1:47">
      <c r="O126" s="961"/>
      <c r="T126" s="932"/>
      <c r="U126" s="932"/>
      <c r="V126" s="932"/>
      <c r="W126" s="932"/>
      <c r="X126" s="923"/>
      <c r="Y126" s="718"/>
      <c r="Z126" s="718"/>
      <c r="AA126" s="787"/>
      <c r="AB126" s="696"/>
      <c r="AC126" s="718"/>
      <c r="AD126" s="662"/>
      <c r="AE126" s="976"/>
      <c r="AF126" s="718"/>
      <c r="AG126" s="718"/>
      <c r="AH126" s="985"/>
      <c r="AI126" s="662"/>
      <c r="AJ126" s="718"/>
      <c r="AK126" s="759"/>
      <c r="AL126" s="718"/>
      <c r="AM126" s="718"/>
      <c r="AN126" s="718"/>
      <c r="AO126" s="718"/>
      <c r="AP126" s="662"/>
      <c r="AQ126" s="662"/>
      <c r="AR126" s="662"/>
      <c r="AS126" s="662"/>
      <c r="AT126" s="662"/>
      <c r="AU126" s="662"/>
    </row>
    <row r="127" s="625" customFormat="1" ht="22" customHeight="1" spans="1:47">
      <c r="O127" s="961"/>
      <c r="T127" s="932"/>
      <c r="U127" s="932"/>
      <c r="V127" s="932"/>
      <c r="W127" s="932"/>
      <c r="X127" s="923"/>
      <c r="Y127" s="718"/>
      <c r="Z127" s="718"/>
      <c r="AA127" s="787"/>
      <c r="AB127" s="696"/>
      <c r="AC127" s="718"/>
      <c r="AD127" s="662"/>
      <c r="AE127" s="976"/>
      <c r="AF127" s="718"/>
      <c r="AG127" s="718"/>
      <c r="AH127" s="985"/>
      <c r="AI127" s="662"/>
      <c r="AJ127" s="718"/>
      <c r="AK127" s="759"/>
      <c r="AL127" s="718"/>
      <c r="AM127" s="718"/>
      <c r="AN127" s="718"/>
      <c r="AO127" s="718"/>
      <c r="AP127" s="662"/>
      <c r="AQ127" s="662"/>
      <c r="AR127" s="662"/>
      <c r="AS127" s="662"/>
      <c r="AT127" s="662"/>
      <c r="AU127" s="662"/>
    </row>
    <row r="128" s="625" customFormat="1" ht="22" customHeight="1" spans="1:47">
      <c r="O128" s="961"/>
      <c r="T128" s="932"/>
      <c r="U128" s="932"/>
      <c r="V128" s="932"/>
      <c r="W128" s="932"/>
      <c r="X128" s="923"/>
      <c r="Y128" s="718"/>
      <c r="Z128" s="718"/>
      <c r="AA128" s="787"/>
      <c r="AB128" s="696"/>
      <c r="AC128" s="718"/>
      <c r="AD128" s="662"/>
      <c r="AE128" s="976"/>
      <c r="AF128" s="718"/>
      <c r="AG128" s="718"/>
      <c r="AH128" s="985"/>
      <c r="AI128" s="662"/>
      <c r="AJ128" s="718"/>
      <c r="AK128" s="759"/>
      <c r="AL128" s="718"/>
      <c r="AM128" s="787"/>
      <c r="AN128" s="718"/>
      <c r="AO128" s="662"/>
      <c r="AP128" s="662"/>
      <c r="AQ128" s="662"/>
      <c r="AR128" s="662"/>
      <c r="AS128" s="662"/>
      <c r="AT128" s="662"/>
      <c r="AU128" s="662"/>
    </row>
    <row r="129" s="625" customFormat="1" ht="22" customHeight="1" spans="15:47">
      <c r="O129" s="961"/>
      <c r="T129" s="932"/>
      <c r="U129" s="932"/>
      <c r="V129" s="932"/>
      <c r="W129" s="932"/>
      <c r="X129" s="923"/>
      <c r="Y129" s="718"/>
      <c r="Z129" s="718"/>
      <c r="AA129" s="787"/>
      <c r="AB129" s="696"/>
      <c r="AC129" s="718"/>
      <c r="AD129" s="662"/>
      <c r="AE129" s="976"/>
      <c r="AF129" s="718"/>
      <c r="AG129" s="718"/>
      <c r="AH129" s="985"/>
      <c r="AI129" s="662"/>
      <c r="AJ129" s="718"/>
      <c r="AK129" s="759"/>
      <c r="AL129" s="718"/>
      <c r="AM129" s="787"/>
      <c r="AN129" s="718"/>
      <c r="AO129" s="662"/>
      <c r="AP129" s="662"/>
      <c r="AQ129" s="662"/>
      <c r="AR129" s="662"/>
      <c r="AS129" s="662"/>
      <c r="AT129" s="662"/>
      <c r="AU129" s="662"/>
    </row>
    <row r="130" s="625" customFormat="1" ht="22" customHeight="1" spans="15:47">
      <c r="O130" s="961"/>
      <c r="T130" s="932"/>
      <c r="U130" s="932"/>
      <c r="V130" s="932"/>
      <c r="W130" s="932"/>
      <c r="X130" s="923"/>
      <c r="Y130" s="718"/>
      <c r="Z130" s="718"/>
      <c r="AA130" s="787"/>
      <c r="AB130" s="696"/>
      <c r="AC130" s="718"/>
      <c r="AD130" s="662"/>
      <c r="AE130" s="976"/>
      <c r="AF130" s="718"/>
      <c r="AG130" s="718"/>
      <c r="AH130" s="985"/>
      <c r="AI130" s="662"/>
      <c r="AJ130" s="718"/>
      <c r="AK130" s="759"/>
      <c r="AL130" s="718"/>
      <c r="AM130" s="787"/>
      <c r="AN130" s="718"/>
      <c r="AO130" s="662"/>
      <c r="AP130" s="662"/>
      <c r="AQ130" s="662"/>
      <c r="AR130" s="662"/>
      <c r="AS130" s="662"/>
      <c r="AT130" s="662"/>
      <c r="AU130" s="662"/>
    </row>
    <row r="131" s="625" customFormat="1" ht="22" customHeight="1" spans="15:47">
      <c r="O131" s="961"/>
      <c r="T131" s="932"/>
      <c r="U131" s="932"/>
      <c r="V131" s="932"/>
      <c r="W131" s="932"/>
      <c r="X131" s="923"/>
      <c r="Y131" s="718"/>
      <c r="Z131" s="718"/>
      <c r="AA131" s="787"/>
      <c r="AB131" s="696"/>
      <c r="AC131" s="718"/>
      <c r="AD131" s="662"/>
      <c r="AE131" s="976"/>
      <c r="AF131" s="718"/>
      <c r="AG131" s="718"/>
      <c r="AH131" s="985"/>
      <c r="AI131" s="662"/>
      <c r="AJ131" s="718"/>
      <c r="AK131" s="759"/>
      <c r="AL131" s="718"/>
      <c r="AM131" s="718"/>
      <c r="AN131" s="696"/>
      <c r="AO131" s="662"/>
      <c r="AP131" s="662"/>
      <c r="AQ131" s="662"/>
      <c r="AR131" s="662"/>
      <c r="AS131" s="662"/>
      <c r="AT131" s="662"/>
      <c r="AU131" s="662"/>
    </row>
    <row r="132" s="625" customFormat="1" ht="22" customHeight="1" spans="15:47">
      <c r="O132" s="961"/>
      <c r="T132" s="932"/>
      <c r="U132" s="932"/>
      <c r="V132" s="932"/>
      <c r="W132" s="932"/>
      <c r="X132" s="923"/>
      <c r="Y132" s="718"/>
      <c r="Z132" s="718"/>
      <c r="AA132" s="787"/>
      <c r="AB132" s="696"/>
      <c r="AC132" s="718"/>
      <c r="AD132" s="662"/>
      <c r="AE132" s="976"/>
      <c r="AF132" s="718"/>
      <c r="AG132" s="718"/>
      <c r="AH132" s="985"/>
      <c r="AI132" s="662"/>
      <c r="AJ132" s="718"/>
      <c r="AK132" s="759"/>
      <c r="AL132" s="718"/>
      <c r="AM132" s="718"/>
      <c r="AN132" s="696"/>
      <c r="AO132" s="662"/>
      <c r="AP132" s="662"/>
      <c r="AQ132" s="662"/>
      <c r="AR132" s="662"/>
      <c r="AS132" s="662"/>
      <c r="AT132" s="662"/>
      <c r="AU132" s="662"/>
    </row>
    <row r="133" s="625" customFormat="1" ht="22" customHeight="1" spans="15:47">
      <c r="O133" s="961"/>
      <c r="T133" s="932"/>
      <c r="U133" s="932"/>
      <c r="V133" s="932"/>
      <c r="W133" s="932"/>
      <c r="X133" s="923"/>
      <c r="Y133" s="718"/>
      <c r="Z133" s="718"/>
      <c r="AA133" s="718"/>
      <c r="AB133" s="718"/>
      <c r="AC133" s="718"/>
      <c r="AD133" s="662"/>
      <c r="AE133" s="989"/>
      <c r="AF133" s="990"/>
      <c r="AG133" s="718"/>
      <c r="AH133" s="718"/>
      <c r="AI133" s="662"/>
      <c r="AJ133" s="662"/>
      <c r="AK133" s="681"/>
      <c r="AL133" s="662"/>
      <c r="AM133" s="662"/>
      <c r="AN133" s="662"/>
      <c r="AO133" s="662"/>
      <c r="AP133" s="662"/>
      <c r="AQ133" s="662"/>
      <c r="AR133" s="662"/>
      <c r="AS133" s="662"/>
      <c r="AT133" s="662"/>
      <c r="AU133" s="662"/>
    </row>
    <row r="134" s="625" customFormat="1" ht="22" customHeight="1" spans="15:47">
      <c r="O134" s="961"/>
      <c r="T134" s="932"/>
      <c r="U134" s="932"/>
      <c r="V134" s="932"/>
      <c r="W134" s="932"/>
      <c r="X134" s="923"/>
      <c r="Y134" s="718"/>
      <c r="Z134" s="718"/>
      <c r="AA134" s="718"/>
      <c r="AB134" s="718"/>
      <c r="AC134" s="718"/>
      <c r="AD134" s="662"/>
      <c r="AE134" s="989"/>
      <c r="AF134" s="990"/>
      <c r="AG134" s="718"/>
      <c r="AH134" s="718"/>
      <c r="AI134" s="662"/>
      <c r="AJ134" s="662"/>
      <c r="AK134" s="681"/>
      <c r="AL134" s="662"/>
      <c r="AM134" s="662"/>
      <c r="AN134" s="662"/>
      <c r="AO134" s="991"/>
      <c r="AP134" s="662"/>
      <c r="AQ134" s="662"/>
      <c r="AR134" s="662"/>
      <c r="AS134" s="662"/>
      <c r="AT134" s="662"/>
      <c r="AU134" s="662"/>
    </row>
    <row r="135" s="625" customFormat="1" ht="22" customHeight="1" spans="15:47">
      <c r="O135" s="961"/>
      <c r="W135" s="624"/>
      <c r="X135" s="923"/>
      <c r="Y135" s="718"/>
      <c r="Z135" s="718"/>
      <c r="AA135" s="718"/>
      <c r="AB135" s="718"/>
      <c r="AC135" s="718"/>
      <c r="AD135" s="662"/>
      <c r="AE135" s="992"/>
      <c r="AF135" s="990"/>
      <c r="AG135" s="718"/>
      <c r="AH135" s="718"/>
      <c r="AI135" s="662"/>
      <c r="AJ135" s="662"/>
      <c r="AK135" s="681"/>
      <c r="AL135" s="662"/>
      <c r="AM135" s="662"/>
      <c r="AN135" s="662"/>
      <c r="AO135" s="662"/>
      <c r="AP135" s="662"/>
      <c r="AQ135" s="662"/>
      <c r="AR135" s="662"/>
      <c r="AS135" s="662"/>
      <c r="AT135" s="662"/>
      <c r="AU135" s="662"/>
    </row>
    <row r="136" s="625" customFormat="1" ht="22" customHeight="1" spans="15:47">
      <c r="O136" s="961"/>
      <c r="W136" s="624"/>
      <c r="X136" s="923"/>
      <c r="Y136" s="718"/>
      <c r="Z136" s="718"/>
      <c r="AA136" s="718"/>
      <c r="AB136" s="718"/>
      <c r="AC136" s="718"/>
      <c r="AD136" s="662"/>
      <c r="AE136" s="992"/>
      <c r="AF136" s="990"/>
      <c r="AG136" s="718"/>
      <c r="AH136" s="718"/>
      <c r="AI136" s="662"/>
      <c r="AJ136" s="662"/>
      <c r="AK136" s="681"/>
      <c r="AL136" s="662"/>
      <c r="AM136" s="662"/>
      <c r="AN136" s="662"/>
      <c r="AO136" s="662"/>
      <c r="AP136" s="662"/>
      <c r="AQ136" s="662"/>
      <c r="AR136" s="662"/>
      <c r="AS136" s="662"/>
      <c r="AT136" s="662"/>
      <c r="AU136" s="662"/>
    </row>
    <row r="137" s="625" customFormat="1" ht="22" customHeight="1" spans="15:47">
      <c r="O137" s="961"/>
      <c r="W137" s="624"/>
      <c r="X137" s="923"/>
      <c r="Y137" s="718"/>
      <c r="Z137" s="718"/>
      <c r="AA137" s="718"/>
      <c r="AB137" s="718"/>
      <c r="AC137" s="718"/>
      <c r="AD137" s="662"/>
      <c r="AE137" s="989"/>
      <c r="AF137" s="990"/>
      <c r="AG137" s="718"/>
      <c r="AH137" s="718"/>
      <c r="AI137" s="662"/>
      <c r="AJ137" s="662"/>
      <c r="AK137" s="681"/>
      <c r="AL137" s="662"/>
      <c r="AM137" s="662"/>
      <c r="AN137" s="662"/>
      <c r="AO137" s="662"/>
      <c r="AP137" s="662"/>
      <c r="AQ137" s="662"/>
      <c r="AR137" s="662"/>
      <c r="AS137" s="662"/>
      <c r="AT137" s="662"/>
      <c r="AU137" s="662"/>
    </row>
    <row r="138" s="625" customFormat="1" ht="22" customHeight="1" spans="15:47">
      <c r="O138" s="961"/>
      <c r="W138" s="624"/>
      <c r="X138" s="923"/>
      <c r="Y138" s="718"/>
      <c r="Z138" s="718"/>
      <c r="AA138" s="718"/>
      <c r="AB138" s="718"/>
      <c r="AC138" s="718"/>
      <c r="AD138" s="662"/>
      <c r="AE138" s="992"/>
      <c r="AF138" s="990"/>
      <c r="AG138" s="718"/>
      <c r="AH138" s="718"/>
      <c r="AI138" s="662"/>
      <c r="AJ138" s="662"/>
      <c r="AK138" s="681"/>
      <c r="AL138" s="662"/>
      <c r="AM138" s="662"/>
      <c r="AN138" s="662"/>
      <c r="AO138" s="662"/>
      <c r="AP138" s="662"/>
      <c r="AQ138" s="662"/>
      <c r="AR138" s="662"/>
      <c r="AS138" s="662"/>
      <c r="AT138" s="662"/>
      <c r="AU138" s="662"/>
    </row>
    <row r="139" s="625" customFormat="1" ht="22" customHeight="1" spans="15:47">
      <c r="O139" s="961"/>
      <c r="W139" s="624"/>
      <c r="X139" s="923"/>
      <c r="Y139" s="718"/>
      <c r="Z139" s="718"/>
      <c r="AA139" s="718"/>
      <c r="AB139" s="696"/>
      <c r="AC139" s="718"/>
      <c r="AD139" s="662"/>
      <c r="AE139" s="989"/>
      <c r="AF139" s="990"/>
      <c r="AG139" s="718"/>
      <c r="AH139" s="718"/>
      <c r="AI139" s="662"/>
      <c r="AJ139" s="662"/>
      <c r="AK139" s="681"/>
      <c r="AL139" s="662"/>
      <c r="AM139" s="662"/>
      <c r="AN139" s="662"/>
      <c r="AO139" s="662"/>
      <c r="AP139" s="662"/>
      <c r="AQ139" s="662"/>
      <c r="AR139" s="662"/>
      <c r="AS139" s="662"/>
      <c r="AT139" s="662"/>
      <c r="AU139" s="662"/>
    </row>
    <row r="140" s="625" customFormat="1" ht="22" customHeight="1" spans="15:47">
      <c r="O140" s="961"/>
      <c r="W140" s="624"/>
      <c r="X140" s="923"/>
      <c r="Y140" s="718"/>
      <c r="Z140" s="718"/>
      <c r="AA140" s="718"/>
      <c r="AB140" s="718"/>
      <c r="AC140" s="718"/>
      <c r="AD140" s="662"/>
      <c r="AE140" s="989"/>
      <c r="AF140" s="990"/>
      <c r="AG140" s="718"/>
      <c r="AH140" s="718"/>
      <c r="AI140" s="662"/>
      <c r="AJ140" s="662"/>
      <c r="AK140" s="681"/>
      <c r="AL140" s="662"/>
      <c r="AM140" s="662"/>
      <c r="AN140" s="662"/>
      <c r="AO140" s="662"/>
      <c r="AP140" s="662"/>
      <c r="AQ140" s="662"/>
      <c r="AR140" s="662"/>
      <c r="AS140" s="662"/>
      <c r="AT140" s="662"/>
      <c r="AU140" s="662"/>
    </row>
    <row r="141" s="625" customFormat="1" ht="22" customHeight="1" spans="15:47">
      <c r="O141" s="961"/>
      <c r="W141" s="624"/>
      <c r="X141" s="923"/>
      <c r="Y141" s="718"/>
      <c r="Z141" s="718"/>
      <c r="AA141" s="718"/>
      <c r="AB141" s="718"/>
      <c r="AC141" s="718"/>
      <c r="AD141" s="662"/>
      <c r="AE141" s="992"/>
      <c r="AF141" s="990"/>
      <c r="AG141" s="718"/>
      <c r="AH141" s="718"/>
      <c r="AI141" s="662"/>
      <c r="AJ141" s="662"/>
      <c r="AK141" s="681"/>
      <c r="AL141" s="662"/>
      <c r="AM141" s="662"/>
      <c r="AN141" s="662"/>
      <c r="AO141" s="662"/>
      <c r="AP141" s="662"/>
      <c r="AQ141" s="662"/>
      <c r="AR141" s="662"/>
      <c r="AS141" s="662"/>
      <c r="AT141" s="662"/>
      <c r="AU141" s="662"/>
    </row>
    <row r="142" s="625" customFormat="1" ht="22" customHeight="1" spans="15:47">
      <c r="O142" s="961"/>
      <c r="W142" s="624"/>
      <c r="X142" s="624"/>
      <c r="Y142" s="662"/>
      <c r="Z142" s="662"/>
      <c r="AA142" s="662"/>
      <c r="AB142" s="662"/>
      <c r="AC142" s="662"/>
      <c r="AD142" s="662"/>
      <c r="AE142" s="662"/>
      <c r="AF142" s="662"/>
      <c r="AG142" s="662"/>
      <c r="AH142" s="662"/>
      <c r="AI142" s="662"/>
      <c r="AJ142" s="662"/>
      <c r="AK142" s="681"/>
      <c r="AL142" s="662"/>
      <c r="AM142" s="662"/>
      <c r="AN142" s="662"/>
      <c r="AO142" s="662"/>
      <c r="AP142" s="662"/>
      <c r="AQ142" s="662"/>
      <c r="AR142" s="662"/>
      <c r="AS142" s="662"/>
      <c r="AT142" s="662"/>
      <c r="AU142" s="662"/>
    </row>
    <row r="143" s="625" customFormat="1" ht="22" customHeight="1" spans="15:47">
      <c r="O143" s="961"/>
      <c r="Y143" s="662"/>
      <c r="Z143" s="662"/>
      <c r="AA143" s="662"/>
      <c r="AB143" s="662"/>
      <c r="AC143" s="662"/>
      <c r="AD143" s="662"/>
      <c r="AE143" s="662"/>
      <c r="AF143" s="662"/>
      <c r="AG143" s="662"/>
      <c r="AH143" s="662"/>
      <c r="AI143" s="662"/>
      <c r="AJ143" s="662"/>
      <c r="AK143" s="681"/>
      <c r="AL143" s="662"/>
      <c r="AM143" s="662"/>
      <c r="AN143" s="662"/>
      <c r="AO143" s="662"/>
      <c r="AP143" s="662"/>
      <c r="AQ143" s="662"/>
      <c r="AR143" s="662"/>
      <c r="AS143" s="662"/>
      <c r="AT143" s="662"/>
      <c r="AU143" s="662"/>
    </row>
    <row r="144" s="625" customFormat="1" ht="22" customHeight="1" spans="15:47">
      <c r="O144" s="961"/>
      <c r="Y144" s="662"/>
      <c r="Z144" s="662"/>
      <c r="AA144" s="662"/>
      <c r="AB144" s="662"/>
      <c r="AC144" s="662"/>
      <c r="AD144" s="662"/>
      <c r="AE144" s="662"/>
      <c r="AF144" s="662"/>
      <c r="AG144" s="662"/>
      <c r="AH144" s="662"/>
      <c r="AI144" s="662"/>
      <c r="AJ144" s="662"/>
      <c r="AK144" s="681"/>
      <c r="AL144" s="662"/>
      <c r="AM144" s="662"/>
      <c r="AN144" s="662"/>
      <c r="AO144" s="662"/>
      <c r="AP144" s="662"/>
      <c r="AQ144" s="662"/>
      <c r="AR144" s="662"/>
      <c r="AS144" s="662"/>
      <c r="AT144" s="662"/>
      <c r="AU144" s="662"/>
    </row>
    <row r="145" s="625" customFormat="1" ht="22" customHeight="1" spans="15:47">
      <c r="O145" s="961"/>
      <c r="Y145" s="662"/>
      <c r="Z145" s="662"/>
      <c r="AA145" s="662"/>
      <c r="AB145" s="662"/>
      <c r="AC145" s="662"/>
      <c r="AD145" s="662"/>
      <c r="AE145" s="662"/>
      <c r="AF145" s="662"/>
      <c r="AG145" s="662"/>
      <c r="AH145" s="662"/>
      <c r="AI145" s="662"/>
      <c r="AJ145" s="662"/>
      <c r="AK145" s="681"/>
      <c r="AL145" s="662"/>
      <c r="AM145" s="662"/>
      <c r="AN145" s="662"/>
      <c r="AO145" s="662"/>
      <c r="AP145" s="662"/>
      <c r="AQ145" s="662"/>
      <c r="AR145" s="662"/>
      <c r="AS145" s="662"/>
      <c r="AT145" s="662"/>
      <c r="AU145" s="662"/>
    </row>
    <row r="146" s="625" customFormat="1" ht="22" customHeight="1" spans="15:47">
      <c r="O146" s="961"/>
      <c r="Y146" s="662"/>
      <c r="Z146" s="662"/>
      <c r="AA146" s="662"/>
      <c r="AB146" s="662"/>
      <c r="AC146" s="662"/>
      <c r="AD146" s="662"/>
      <c r="AE146" s="662"/>
      <c r="AF146" s="662"/>
      <c r="AG146" s="662"/>
      <c r="AH146" s="662"/>
      <c r="AI146" s="662"/>
      <c r="AJ146" s="662"/>
      <c r="AK146" s="681"/>
      <c r="AL146" s="662"/>
      <c r="AM146" s="662"/>
      <c r="AN146" s="662"/>
      <c r="AO146" s="662"/>
      <c r="AP146" s="662"/>
      <c r="AQ146" s="662"/>
      <c r="AR146" s="662"/>
      <c r="AS146" s="662"/>
      <c r="AT146" s="662"/>
      <c r="AU146" s="662"/>
    </row>
    <row r="147" s="625" customFormat="1" ht="22" customHeight="1" spans="15:47">
      <c r="O147" s="961"/>
      <c r="Y147" s="662"/>
      <c r="Z147" s="662"/>
      <c r="AA147" s="662"/>
      <c r="AB147" s="662"/>
      <c r="AC147" s="662"/>
      <c r="AD147" s="662"/>
      <c r="AE147" s="662"/>
      <c r="AF147" s="662"/>
      <c r="AG147" s="662"/>
      <c r="AH147" s="662"/>
      <c r="AI147" s="662"/>
      <c r="AJ147" s="662"/>
      <c r="AK147" s="681"/>
      <c r="AL147" s="662"/>
      <c r="AM147" s="662"/>
      <c r="AN147" s="662"/>
      <c r="AO147" s="662"/>
      <c r="AP147" s="662"/>
      <c r="AQ147" s="662"/>
      <c r="AR147" s="662"/>
      <c r="AS147" s="662"/>
      <c r="AT147" s="662"/>
      <c r="AU147" s="662"/>
    </row>
  </sheetData>
  <mergeCells count="87">
    <mergeCell ref="A1:X1"/>
    <mergeCell ref="L2:S2"/>
    <mergeCell ref="T2:V2"/>
    <mergeCell ref="H13:I13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F41:G41"/>
    <mergeCell ref="J41:K41"/>
    <mergeCell ref="D42:R42"/>
    <mergeCell ref="D43:R43"/>
    <mergeCell ref="D44:R44"/>
    <mergeCell ref="D45:R45"/>
    <mergeCell ref="C46:R46"/>
    <mergeCell ref="B47:R47"/>
    <mergeCell ref="B48:S48"/>
    <mergeCell ref="J50:K50"/>
    <mergeCell ref="J51:K51"/>
    <mergeCell ref="E56:F56"/>
    <mergeCell ref="K61:L61"/>
    <mergeCell ref="AH111:AJ111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34" stopIfTrue="1">
      <formula>#REF!&lt;&gt;0</formula>
    </cfRule>
  </conditionalFormatting>
  <conditionalFormatting sqref="AG35">
    <cfRule type="expression" dxfId="0" priority="63" stopIfTrue="1">
      <formula>AN35&lt;&gt;0</formula>
    </cfRule>
  </conditionalFormatting>
  <conditionalFormatting sqref="AG36">
    <cfRule type="expression" dxfId="0" priority="61" stopIfTrue="1">
      <formula>AN36&lt;&gt;0</formula>
    </cfRule>
  </conditionalFormatting>
  <conditionalFormatting sqref="AG37">
    <cfRule type="expression" dxfId="0" priority="71" stopIfTrue="1">
      <formula>AN37&lt;&gt;0</formula>
    </cfRule>
  </conditionalFormatting>
  <conditionalFormatting sqref="U47">
    <cfRule type="expression" dxfId="0" priority="542" stopIfTrue="1">
      <formula>#REF!&lt;&gt;0</formula>
    </cfRule>
  </conditionalFormatting>
  <conditionalFormatting sqref="AG50">
    <cfRule type="expression" dxfId="0" priority="69" stopIfTrue="1">
      <formula>AN50&lt;&gt;0</formula>
    </cfRule>
  </conditionalFormatting>
  <conditionalFormatting sqref="AG51">
    <cfRule type="expression" dxfId="0" priority="67" stopIfTrue="1">
      <formula>AN51&lt;&gt;0</formula>
    </cfRule>
  </conditionalFormatting>
  <conditionalFormatting sqref="AG52">
    <cfRule type="expression" dxfId="0" priority="57" stopIfTrue="1">
      <formula>AN52&lt;&gt;0</formula>
    </cfRule>
  </conditionalFormatting>
  <conditionalFormatting sqref="AG53">
    <cfRule type="expression" dxfId="0" priority="55" stopIfTrue="1">
      <formula>AN53&lt;&gt;0</formula>
    </cfRule>
  </conditionalFormatting>
  <conditionalFormatting sqref="AG54">
    <cfRule type="expression" dxfId="0" priority="73" stopIfTrue="1">
      <formula>AN12&lt;&gt;0</formula>
    </cfRule>
  </conditionalFormatting>
  <conditionalFormatting sqref="AG55">
    <cfRule type="expression" dxfId="0" priority="53" stopIfTrue="1">
      <formula>AN13&lt;&gt;0</formula>
    </cfRule>
  </conditionalFormatting>
  <conditionalFormatting sqref="AG58">
    <cfRule type="expression" dxfId="0" priority="85" stopIfTrue="1">
      <formula>AN1048564&lt;&gt;0</formula>
    </cfRule>
  </conditionalFormatting>
  <conditionalFormatting sqref="AG59">
    <cfRule type="expression" dxfId="0" priority="51" stopIfTrue="1">
      <formula>AN1048557&lt;&gt;0</formula>
    </cfRule>
  </conditionalFormatting>
  <conditionalFormatting sqref="AH59">
    <cfRule type="expression" dxfId="1" priority="77" stopIfTrue="1">
      <formula>$F59&lt;&gt;0</formula>
    </cfRule>
  </conditionalFormatting>
  <conditionalFormatting sqref="AG60">
    <cfRule type="expression" dxfId="0" priority="87" stopIfTrue="1">
      <formula>AN31&lt;&gt;0</formula>
    </cfRule>
  </conditionalFormatting>
  <conditionalFormatting sqref="AH60">
    <cfRule type="expression" dxfId="1" priority="83" stopIfTrue="1">
      <formula>$F60&lt;&gt;0</formula>
    </cfRule>
  </conditionalFormatting>
  <conditionalFormatting sqref="AG61">
    <cfRule type="expression" dxfId="0" priority="75" stopIfTrue="1">
      <formula>#REF!&lt;&gt;0</formula>
    </cfRule>
  </conditionalFormatting>
  <conditionalFormatting sqref="AH61">
    <cfRule type="expression" dxfId="1" priority="81" stopIfTrue="1">
      <formula>$F61&lt;&gt;0</formula>
    </cfRule>
  </conditionalFormatting>
  <conditionalFormatting sqref="AH62">
    <cfRule type="expression" dxfId="1" priority="44" stopIfTrue="1">
      <formula>$F62&lt;&gt;0</formula>
    </cfRule>
  </conditionalFormatting>
  <conditionalFormatting sqref="AH63">
    <cfRule type="expression" dxfId="1" priority="40" stopIfTrue="1">
      <formula>$F63&lt;&gt;0</formula>
    </cfRule>
  </conditionalFormatting>
  <conditionalFormatting sqref="AH64">
    <cfRule type="expression" dxfId="1" priority="38" stopIfTrue="1">
      <formula>$F64&lt;&gt;0</formula>
    </cfRule>
  </conditionalFormatting>
  <conditionalFormatting sqref="AH67">
    <cfRule type="expression" dxfId="1" priority="42" stopIfTrue="1">
      <formula>$F67&lt;&gt;0</formula>
    </cfRule>
  </conditionalFormatting>
  <conditionalFormatting sqref="AH68">
    <cfRule type="expression" dxfId="1" priority="41" stopIfTrue="1">
      <formula>$F68&lt;&gt;0</formula>
    </cfRule>
  </conditionalFormatting>
  <conditionalFormatting sqref="AG69">
    <cfRule type="expression" dxfId="0" priority="27" stopIfTrue="1">
      <formula>AK679&lt;&gt;0</formula>
    </cfRule>
  </conditionalFormatting>
  <conditionalFormatting sqref="AG70">
    <cfRule type="expression" dxfId="0" priority="25" stopIfTrue="1">
      <formula>AK680&lt;&gt;0</formula>
    </cfRule>
  </conditionalFormatting>
  <conditionalFormatting sqref="AG71">
    <cfRule type="expression" dxfId="0" priority="34" stopIfTrue="1">
      <formula>#REF!&lt;&gt;0</formula>
    </cfRule>
  </conditionalFormatting>
  <conditionalFormatting sqref="AG72">
    <cfRule type="expression" dxfId="0" priority="32" stopIfTrue="1">
      <formula>AK683&lt;&gt;0</formula>
    </cfRule>
  </conditionalFormatting>
  <conditionalFormatting sqref="AG73">
    <cfRule type="expression" dxfId="0" priority="23" stopIfTrue="1">
      <formula>AK683&lt;&gt;0</formula>
    </cfRule>
  </conditionalFormatting>
  <conditionalFormatting sqref="AG74">
    <cfRule type="expression" dxfId="0" priority="29" stopIfTrue="1">
      <formula>AK686&lt;&gt;0</formula>
    </cfRule>
  </conditionalFormatting>
  <conditionalFormatting sqref="AG77">
    <cfRule type="expression" dxfId="0" priority="14" stopIfTrue="1">
      <formula>AK689&lt;&gt;0</formula>
    </cfRule>
  </conditionalFormatting>
  <conditionalFormatting sqref="AG80">
    <cfRule type="expression" dxfId="0" priority="30" stopIfTrue="1">
      <formula>AK674&lt;&gt;0</formula>
    </cfRule>
  </conditionalFormatting>
  <conditionalFormatting sqref="AG81">
    <cfRule type="expression" dxfId="0" priority="18" stopIfTrue="1">
      <formula>AK675&lt;&gt;0</formula>
    </cfRule>
  </conditionalFormatting>
  <conditionalFormatting sqref="AG82">
    <cfRule type="expression" dxfId="0" priority="8" stopIfTrue="1">
      <formula>AK688&lt;&gt;0</formula>
    </cfRule>
  </conditionalFormatting>
  <conditionalFormatting sqref="AG85">
    <cfRule type="expression" dxfId="0" priority="2" stopIfTrue="1">
      <formula>AK693&lt;&gt;0</formula>
    </cfRule>
  </conditionalFormatting>
  <conditionalFormatting sqref="AE92">
    <cfRule type="expression" dxfId="0" priority="208" stopIfTrue="1">
      <formula>AJ92&lt;&gt;0</formula>
    </cfRule>
  </conditionalFormatting>
  <conditionalFormatting sqref="AE93">
    <cfRule type="expression" dxfId="0" priority="203" stopIfTrue="1">
      <formula>AJ93&lt;&gt;0</formula>
    </cfRule>
  </conditionalFormatting>
  <conditionalFormatting sqref="AE94">
    <cfRule type="expression" dxfId="0" priority="553" stopIfTrue="1">
      <formula>#REF!&lt;&gt;0</formula>
    </cfRule>
    <cfRule type="expression" dxfId="0" priority="554" stopIfTrue="1">
      <formula>AJ94&lt;&gt;0</formula>
    </cfRule>
  </conditionalFormatting>
  <conditionalFormatting sqref="AE95">
    <cfRule type="expression" dxfId="0" priority="182" stopIfTrue="1">
      <formula>AJ48&lt;&gt;0</formula>
    </cfRule>
    <cfRule type="expression" dxfId="0" priority="184" stopIfTrue="1">
      <formula>AJ95&lt;&gt;0</formula>
    </cfRule>
  </conditionalFormatting>
  <conditionalFormatting sqref="AE97">
    <cfRule type="expression" dxfId="0" priority="186" stopIfTrue="1">
      <formula>AJ25&lt;&gt;0</formula>
    </cfRule>
  </conditionalFormatting>
  <conditionalFormatting sqref="AE98">
    <cfRule type="expression" dxfId="0" priority="207" stopIfTrue="1">
      <formula>AJ37&lt;&gt;0</formula>
    </cfRule>
  </conditionalFormatting>
  <conditionalFormatting sqref="AE99">
    <cfRule type="expression" dxfId="0" priority="192" stopIfTrue="1">
      <formula>AJ62&lt;&gt;0</formula>
    </cfRule>
  </conditionalFormatting>
  <conditionalFormatting sqref="AE100">
    <cfRule type="expression" dxfId="0" priority="233" stopIfTrue="1">
      <formula>AJ28&lt;&gt;0</formula>
    </cfRule>
  </conditionalFormatting>
  <conditionalFormatting sqref="AE103">
    <cfRule type="expression" dxfId="0" priority="199" stopIfTrue="1">
      <formula>AJ30&lt;&gt;0</formula>
    </cfRule>
  </conditionalFormatting>
  <conditionalFormatting sqref="AF103">
    <cfRule type="expression" dxfId="1" priority="219" stopIfTrue="1">
      <formula>#REF!&lt;&gt;0</formula>
    </cfRule>
  </conditionalFormatting>
  <conditionalFormatting sqref="AE104">
    <cfRule type="expression" dxfId="0" priority="197" stopIfTrue="1">
      <formula>AJ8&lt;&gt;0</formula>
    </cfRule>
  </conditionalFormatting>
  <conditionalFormatting sqref="AF104">
    <cfRule type="expression" dxfId="1" priority="217" stopIfTrue="1">
      <formula>#REF!&lt;&gt;0</formula>
    </cfRule>
  </conditionalFormatting>
  <conditionalFormatting sqref="AE105">
    <cfRule type="expression" dxfId="0" priority="194" stopIfTrue="1">
      <formula>AJ14&lt;&gt;0</formula>
    </cfRule>
  </conditionalFormatting>
  <conditionalFormatting sqref="AE106">
    <cfRule type="expression" dxfId="0" priority="550" stopIfTrue="1">
      <formula>AJ15&lt;&gt;0</formula>
    </cfRule>
  </conditionalFormatting>
  <conditionalFormatting sqref="AF106">
    <cfRule type="expression" dxfId="1" priority="229" stopIfTrue="1">
      <formula>#REF!&lt;&gt;0</formula>
    </cfRule>
  </conditionalFormatting>
  <conditionalFormatting sqref="AF107">
    <cfRule type="expression" dxfId="1" priority="226" stopIfTrue="1">
      <formula>#REF!&lt;&gt;0</formula>
    </cfRule>
  </conditionalFormatting>
  <conditionalFormatting sqref="AF108">
    <cfRule type="expression" dxfId="1" priority="225" stopIfTrue="1">
      <formula>#REF!&lt;&gt;0</formula>
    </cfRule>
  </conditionalFormatting>
  <conditionalFormatting sqref="AF109">
    <cfRule type="expression" dxfId="1" priority="224" stopIfTrue="1">
      <formula>#REF!&lt;&gt;0</formula>
    </cfRule>
  </conditionalFormatting>
  <conditionalFormatting sqref="AF110">
    <cfRule type="expression" dxfId="1" priority="222" stopIfTrue="1">
      <formula>#REF!&lt;&gt;0</formula>
    </cfRule>
  </conditionalFormatting>
  <conditionalFormatting sqref="AE111">
    <cfRule type="expression" dxfId="0" priority="190" stopIfTrue="1">
      <formula>AJ70&lt;&gt;0</formula>
    </cfRule>
  </conditionalFormatting>
  <conditionalFormatting sqref="AF111">
    <cfRule type="expression" dxfId="1" priority="221" stopIfTrue="1">
      <formula>#REF!&lt;&gt;0</formula>
    </cfRule>
  </conditionalFormatting>
  <conditionalFormatting sqref="AE118">
    <cfRule type="expression" dxfId="0" priority="546" stopIfTrue="1">
      <formula>AJ37&lt;&gt;0</formula>
    </cfRule>
  </conditionalFormatting>
  <conditionalFormatting sqref="AF134">
    <cfRule type="expression" dxfId="1" priority="174" stopIfTrue="1">
      <formula>$F134&lt;&gt;0</formula>
    </cfRule>
  </conditionalFormatting>
  <conditionalFormatting sqref="AF135">
    <cfRule type="expression" dxfId="1" priority="172" stopIfTrue="1">
      <formula>$F135&lt;&gt;0</formula>
    </cfRule>
  </conditionalFormatting>
  <conditionalFormatting sqref="AF136">
    <cfRule type="expression" dxfId="1" priority="178" stopIfTrue="1">
      <formula>$F136&lt;&gt;0</formula>
    </cfRule>
  </conditionalFormatting>
  <conditionalFormatting sqref="AF137">
    <cfRule type="expression" dxfId="1" priority="170" stopIfTrue="1">
      <formula>$F137&lt;&gt;0</formula>
    </cfRule>
  </conditionalFormatting>
  <conditionalFormatting sqref="U33:U34">
    <cfRule type="expression" dxfId="0" priority="532" stopIfTrue="1">
      <formula>#REF!&lt;&gt;0</formula>
    </cfRule>
  </conditionalFormatting>
  <conditionalFormatting sqref="U48:U59">
    <cfRule type="expression" dxfId="0" priority="524" stopIfTrue="1">
      <formula>#REF!&lt;&gt;0</formula>
    </cfRule>
  </conditionalFormatting>
  <conditionalFormatting sqref="V48:V59">
    <cfRule type="expression" dxfId="0" priority="516" stopIfTrue="1">
      <formula>#REF!&lt;&gt;0</formula>
    </cfRule>
  </conditionalFormatting>
  <conditionalFormatting sqref="AE96:AE97">
    <cfRule type="expression" dxfId="0" priority="201" stopIfTrue="1">
      <formula>AJ96&lt;&gt;0</formula>
    </cfRule>
  </conditionalFormatting>
  <conditionalFormatting sqref="AE101:AE102">
    <cfRule type="expression" dxfId="0" priority="235" stopIfTrue="1">
      <formula>AJ69&lt;&gt;0</formula>
    </cfRule>
  </conditionalFormatting>
  <conditionalFormatting sqref="AE107:AE110">
    <cfRule type="expression" dxfId="0" priority="196" stopIfTrue="1">
      <formula>AJ17&lt;&gt;0</formula>
    </cfRule>
  </conditionalFormatting>
  <conditionalFormatting sqref="AE111:AE117">
    <cfRule type="expression" dxfId="0" priority="548" stopIfTrue="1">
      <formula>AJ29&lt;&gt;0</formula>
    </cfRule>
  </conditionalFormatting>
  <conditionalFormatting sqref="AE112:AE132">
    <cfRule type="expression" dxfId="0" priority="213" stopIfTrue="1">
      <formula>#REF!&lt;&gt;0</formula>
    </cfRule>
  </conditionalFormatting>
  <conditionalFormatting sqref="AE119:AE120">
    <cfRule type="expression" dxfId="0" priority="552" stopIfTrue="1">
      <formula>AJ39&lt;&gt;0</formula>
    </cfRule>
  </conditionalFormatting>
  <conditionalFormatting sqref="AE121:AE122">
    <cfRule type="expression" dxfId="0" priority="556" stopIfTrue="1">
      <formula>AJ46&lt;&gt;0</formula>
    </cfRule>
  </conditionalFormatting>
  <conditionalFormatting sqref="AE123:AE124">
    <cfRule type="expression" dxfId="0" priority="555" stopIfTrue="1">
      <formula>#REF!&lt;&gt;0</formula>
    </cfRule>
  </conditionalFormatting>
  <conditionalFormatting sqref="AE125:AE130">
    <cfRule type="expression" dxfId="0" priority="210" stopIfTrue="1">
      <formula>AJ48&lt;&gt;0</formula>
    </cfRule>
  </conditionalFormatting>
  <conditionalFormatting sqref="AE131:AE132">
    <cfRule type="expression" dxfId="0" priority="544" stopIfTrue="1">
      <formula>AJ46&lt;&gt;0</formula>
    </cfRule>
  </conditionalFormatting>
  <conditionalFormatting sqref="AF99:AF100">
    <cfRule type="expression" dxfId="1" priority="215" stopIfTrue="1">
      <formula>#REF!&lt;&gt;0</formula>
    </cfRule>
  </conditionalFormatting>
  <conditionalFormatting sqref="AF101:AF102">
    <cfRule type="expression" dxfId="1" priority="231" stopIfTrue="1">
      <formula>#REF!&lt;&gt;0</formula>
    </cfRule>
  </conditionalFormatting>
  <conditionalFormatting sqref="AF105:AF106">
    <cfRule type="expression" dxfId="1" priority="230" stopIfTrue="1">
      <formula>#REF!&lt;&gt;0</formula>
    </cfRule>
  </conditionalFormatting>
  <conditionalFormatting sqref="AF112:AF122">
    <cfRule type="expression" dxfId="1" priority="559" stopIfTrue="1">
      <formula>#REF!&lt;&gt;0</formula>
    </cfRule>
  </conditionalFormatting>
  <conditionalFormatting sqref="AF123:AF132">
    <cfRule type="expression" dxfId="1" priority="227" stopIfTrue="1">
      <formula>$F123&lt;&gt;0</formula>
    </cfRule>
  </conditionalFormatting>
  <conditionalFormatting sqref="AF140:AF141">
    <cfRule type="expression" dxfId="1" priority="176" stopIfTrue="1">
      <formula>$F140&lt;&gt;0</formula>
    </cfRule>
  </conditionalFormatting>
  <conditionalFormatting sqref="AG33:AG34">
    <cfRule type="expression" dxfId="0" priority="65" stopIfTrue="1">
      <formula>AN33&lt;&gt;0</formula>
    </cfRule>
  </conditionalFormatting>
  <conditionalFormatting sqref="AG38:AG49">
    <cfRule type="expression" dxfId="0" priority="59" stopIfTrue="1">
      <formula>AN38&lt;&gt;0</formula>
    </cfRule>
  </conditionalFormatting>
  <conditionalFormatting sqref="AG56:AG57">
    <cfRule type="expression" dxfId="0" priority="49" stopIfTrue="1">
      <formula>AN24&lt;&gt;0</formula>
    </cfRule>
  </conditionalFormatting>
  <conditionalFormatting sqref="AG75:AG76">
    <cfRule type="expression" dxfId="0" priority="21" stopIfTrue="1">
      <formula>AK687&lt;&gt;0</formula>
    </cfRule>
  </conditionalFormatting>
  <conditionalFormatting sqref="AG78:AG79">
    <cfRule type="expression" dxfId="0" priority="16" stopIfTrue="1">
      <formula>AK690&lt;&gt;0</formula>
    </cfRule>
  </conditionalFormatting>
  <conditionalFormatting sqref="AG83:AG84">
    <cfRule type="expression" dxfId="0" priority="6" stopIfTrue="1">
      <formula>AK691&lt;&gt;0</formula>
    </cfRule>
  </conditionalFormatting>
  <conditionalFormatting sqref="AG86:AG88">
    <cfRule type="expression" dxfId="0" priority="557" stopIfTrue="1">
      <formula>AK694&lt;&gt;0</formula>
    </cfRule>
  </conditionalFormatting>
  <conditionalFormatting sqref="AG89:AG92">
    <cfRule type="expression" dxfId="0" priority="4" stopIfTrue="1">
      <formula>AK696&lt;&gt;0</formula>
    </cfRule>
  </conditionalFormatting>
  <conditionalFormatting sqref="AH56:AH58">
    <cfRule type="expression" dxfId="1" priority="79" stopIfTrue="1">
      <formula>$F56&lt;&gt;0</formula>
    </cfRule>
  </conditionalFormatting>
  <conditionalFormatting sqref="AH65:AH66">
    <cfRule type="expression" dxfId="1" priority="43" stopIfTrue="1">
      <formula>$F65&lt;&gt;0</formula>
    </cfRule>
  </conditionalFormatting>
  <conditionalFormatting sqref="AH69:AH76">
    <cfRule type="expression" dxfId="1" priority="11" stopIfTrue="1">
      <formula>$F169&lt;&gt;0</formula>
    </cfRule>
    <cfRule type="expression" dxfId="1" priority="12" stopIfTrue="1">
      <formula>$F265&lt;&gt;0</formula>
    </cfRule>
  </conditionalFormatting>
  <conditionalFormatting sqref="AH77:AH81">
    <cfRule type="expression" dxfId="1" priority="35" stopIfTrue="1">
      <formula>$F261&lt;&gt;0</formula>
    </cfRule>
    <cfRule type="expression" dxfId="1" priority="36" stopIfTrue="1">
      <formula>$F273&lt;&gt;0</formula>
    </cfRule>
  </conditionalFormatting>
  <conditionalFormatting sqref="AH82:AH86">
    <cfRule type="expression" dxfId="1" priority="10" stopIfTrue="1">
      <formula>$F82&lt;&gt;0</formula>
    </cfRule>
  </conditionalFormatting>
  <conditionalFormatting sqref="AH88:AH89">
    <cfRule type="expression" dxfId="1" priority="558" stopIfTrue="1">
      <formula>#REF!&lt;&gt;0</formula>
    </cfRule>
  </conditionalFormatting>
  <conditionalFormatting sqref="V32 V34">
    <cfRule type="expression" dxfId="0" priority="538" stopIfTrue="1">
      <formula>#REF!&lt;&gt;0</formula>
    </cfRule>
  </conditionalFormatting>
  <conditionalFormatting sqref="V33 V47">
    <cfRule type="expression" dxfId="0" priority="536" stopIfTrue="1">
      <formula>#REF!&lt;&gt;0</formula>
    </cfRule>
  </conditionalFormatting>
  <conditionalFormatting sqref="AH62 AH65:AH67">
    <cfRule type="expression" dxfId="1" priority="45" stopIfTrue="1">
      <formula>$F62&lt;&gt;0</formula>
    </cfRule>
  </conditionalFormatting>
  <conditionalFormatting sqref="AH87 AH90:AH92">
    <cfRule type="expression" dxfId="1" priority="560" stopIfTrue="1">
      <formula>#REF!&lt;&gt;0</formula>
    </cfRule>
  </conditionalFormatting>
  <conditionalFormatting sqref="AF138:AF139 AF133">
    <cfRule type="expression" dxfId="1" priority="180" stopIfTrue="1">
      <formula>$F133&lt;&gt;0</formula>
    </cfRule>
  </conditionalFormatting>
  <printOptions horizontalCentered="1"/>
  <pageMargins left="0.550694444444444" right="0.078740157480315" top="0.66875" bottom="0.15748031496063" header="1.18055555555556" footer="0.511811023622047"/>
  <pageSetup paperSize="1" scale="17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C18" sqref="C18"/>
    </sheetView>
  </sheetViews>
  <sheetFormatPr defaultColWidth="9" defaultRowHeight="14.25"/>
  <cols>
    <col min="1" max="1" width="39.75" customWidth="1"/>
    <col min="2" max="2" width="16.375" customWidth="1"/>
    <col min="3" max="3" width="15.5" customWidth="1"/>
    <col min="4" max="4" width="17" customWidth="1"/>
    <col min="5" max="5" width="16.25" customWidth="1"/>
    <col min="6" max="6" width="16.125" customWidth="1"/>
    <col min="7" max="7" width="17.25" customWidth="1"/>
    <col min="8" max="8" width="20.625" customWidth="1"/>
    <col min="9" max="9" width="16.125" customWidth="1"/>
  </cols>
  <sheetData>
    <row r="1" spans="1:10">
      <c r="A1" s="611"/>
      <c r="B1" s="611" t="s">
        <v>142</v>
      </c>
      <c r="C1" s="611" t="s">
        <v>143</v>
      </c>
      <c r="D1" s="611" t="s">
        <v>144</v>
      </c>
      <c r="E1" s="611" t="s">
        <v>145</v>
      </c>
      <c r="F1" s="611" t="s">
        <v>146</v>
      </c>
      <c r="G1" s="611" t="s">
        <v>147</v>
      </c>
      <c r="H1" s="611" t="s">
        <v>148</v>
      </c>
      <c r="I1" s="611" t="s">
        <v>68</v>
      </c>
    </row>
    <row r="2" customFormat="1" spans="1:10">
      <c r="A2" s="611" t="s">
        <v>149</v>
      </c>
      <c r="B2" s="611">
        <v>13634.58</v>
      </c>
      <c r="C2" s="611"/>
      <c r="D2" s="611"/>
      <c r="E2" s="611">
        <v>976.47</v>
      </c>
      <c r="G2" s="614">
        <v>708.45</v>
      </c>
      <c r="H2" s="611"/>
      <c r="I2" s="611">
        <f>SUM(B2:H2)</f>
        <v>15319.5</v>
      </c>
    </row>
    <row r="3" spans="1:10">
      <c r="A3" s="611" t="s">
        <v>150</v>
      </c>
      <c r="B3" s="611"/>
      <c r="C3" s="611">
        <v>25449.64</v>
      </c>
      <c r="D3" s="611">
        <v>3287.13</v>
      </c>
      <c r="E3" s="611"/>
      <c r="F3" s="611">
        <f>2594.6-50.95</f>
        <v>2543.65</v>
      </c>
      <c r="G3" s="614">
        <v>50.95</v>
      </c>
      <c r="H3" s="611"/>
      <c r="I3" s="611">
        <f>SUM(B3:H3)</f>
        <v>31331.37</v>
      </c>
      <c r="J3">
        <f>4057.95+82.96</f>
        <v>4140.91</v>
      </c>
    </row>
    <row r="4" spans="1:10">
      <c r="A4" s="611" t="s">
        <v>151</v>
      </c>
      <c r="B4" s="611"/>
      <c r="C4" s="616">
        <v>39726.44</v>
      </c>
      <c r="D4" s="616">
        <f>5067.82-157.69</f>
        <v>4910.13</v>
      </c>
      <c r="E4" s="611"/>
      <c r="F4" s="616">
        <f>3315.08-924.1</f>
        <v>2390.98</v>
      </c>
      <c r="G4" s="614">
        <v>924.1</v>
      </c>
      <c r="H4" s="611">
        <f>65.29+111.69+60.09+157.69</f>
        <v>394.76</v>
      </c>
      <c r="I4" s="611">
        <f t="shared" ref="I3:I9" si="0">SUM(B4:H4)</f>
        <v>48346.41</v>
      </c>
      <c r="J4">
        <v>9282.89</v>
      </c>
    </row>
    <row r="5" spans="1:10">
      <c r="A5" s="611" t="s">
        <v>152</v>
      </c>
      <c r="B5" s="611"/>
      <c r="C5" s="617">
        <v>6672.37</v>
      </c>
      <c r="D5" s="611">
        <v>1636.59</v>
      </c>
      <c r="E5" s="611"/>
      <c r="F5" s="611">
        <v>727.99</v>
      </c>
      <c r="G5" s="614"/>
      <c r="H5" s="611">
        <v>17.74</v>
      </c>
      <c r="I5" s="611">
        <f t="shared" si="0"/>
        <v>9054.69</v>
      </c>
      <c r="J5">
        <v>2054.88</v>
      </c>
    </row>
    <row r="6" spans="1:10">
      <c r="A6" s="611" t="s">
        <v>153</v>
      </c>
      <c r="B6" s="611"/>
      <c r="C6" s="618">
        <v>8314.07</v>
      </c>
      <c r="D6" s="611"/>
      <c r="E6" s="611"/>
      <c r="F6" s="616">
        <v>696.75</v>
      </c>
      <c r="G6" s="614">
        <v>48.19</v>
      </c>
      <c r="H6" s="611"/>
      <c r="I6" s="611">
        <f t="shared" si="0"/>
        <v>9059.01</v>
      </c>
    </row>
    <row r="7" spans="1:10">
      <c r="A7" s="611" t="s">
        <v>154</v>
      </c>
      <c r="B7" s="611"/>
      <c r="C7" s="611">
        <v>5868.37</v>
      </c>
      <c r="D7" s="611">
        <v>3667.91</v>
      </c>
      <c r="E7" s="611"/>
      <c r="F7" s="611">
        <v>830.47</v>
      </c>
      <c r="G7" s="619"/>
      <c r="H7" s="611"/>
      <c r="I7" s="611">
        <f>SUM(B7:G7)</f>
        <v>10366.75</v>
      </c>
    </row>
    <row r="8" spans="1:10">
      <c r="A8" s="611" t="s">
        <v>90</v>
      </c>
      <c r="B8" s="618">
        <v>4722.24</v>
      </c>
      <c r="C8" s="611"/>
      <c r="D8" s="611"/>
      <c r="E8" s="611"/>
      <c r="F8" s="611"/>
      <c r="G8" s="614"/>
      <c r="H8" s="611">
        <f>92.29+1005.66</f>
        <v>1097.95</v>
      </c>
      <c r="I8" s="611">
        <f t="shared" si="0"/>
        <v>5820.19</v>
      </c>
    </row>
    <row r="9" spans="1:10">
      <c r="A9" s="611" t="s">
        <v>68</v>
      </c>
      <c r="B9" s="611">
        <f t="shared" ref="B9:H9" si="1">SUM(B2:B8)</f>
        <v>18356.82</v>
      </c>
      <c r="C9" s="611">
        <f t="shared" si="1"/>
        <v>86030.89</v>
      </c>
      <c r="D9" s="611">
        <f t="shared" si="1"/>
        <v>13501.76</v>
      </c>
      <c r="E9" s="611">
        <f t="shared" si="1"/>
        <v>976.47</v>
      </c>
      <c r="F9" s="611">
        <f t="shared" si="1"/>
        <v>7189.84</v>
      </c>
      <c r="G9" s="611">
        <f t="shared" si="1"/>
        <v>1731.69</v>
      </c>
      <c r="H9" s="611">
        <f t="shared" si="1"/>
        <v>1510.45</v>
      </c>
      <c r="I9" s="611">
        <f t="shared" si="0"/>
        <v>129297.92</v>
      </c>
    </row>
    <row r="13" customFormat="1" spans="1:10">
      <c r="G13">
        <v>127566.23</v>
      </c>
    </row>
    <row r="22" customFormat="1" spans="1:7">
      <c r="B22" s="611" t="s">
        <v>142</v>
      </c>
      <c r="C22" s="611" t="s">
        <v>143</v>
      </c>
      <c r="D22" s="611" t="s">
        <v>144</v>
      </c>
      <c r="E22" s="611" t="s">
        <v>155</v>
      </c>
    </row>
    <row r="23" customFormat="1" spans="1:7">
      <c r="A23" s="611" t="s">
        <v>149</v>
      </c>
      <c r="B23" s="611">
        <v>11045.56</v>
      </c>
      <c r="C23" s="611"/>
      <c r="D23" s="611"/>
      <c r="E23" s="611"/>
    </row>
    <row r="24" customFormat="1" spans="1:7">
      <c r="A24" s="611" t="s">
        <v>150</v>
      </c>
      <c r="B24" s="611"/>
      <c r="C24" s="611">
        <v>24578.3</v>
      </c>
      <c r="D24" s="611">
        <v>3134.34</v>
      </c>
      <c r="E24" s="616">
        <v>829.85</v>
      </c>
    </row>
    <row r="25" customFormat="1" spans="1:7">
      <c r="A25" s="611" t="s">
        <v>151</v>
      </c>
      <c r="B25" s="611"/>
      <c r="C25" s="611">
        <v>35849.26</v>
      </c>
      <c r="D25" s="611">
        <v>4603.21</v>
      </c>
      <c r="E25" s="611">
        <v>378.49</v>
      </c>
    </row>
    <row r="26" customFormat="1" spans="1:7">
      <c r="A26" s="611" t="s">
        <v>152</v>
      </c>
      <c r="B26" s="611"/>
      <c r="C26" s="611">
        <v>5981.61</v>
      </c>
      <c r="D26" s="611">
        <v>1636.59</v>
      </c>
      <c r="E26" s="611">
        <v>178.33</v>
      </c>
      <c r="G26">
        <f>F30/G13</f>
        <v>0.778799373470549</v>
      </c>
    </row>
    <row r="27" customFormat="1" spans="1:7">
      <c r="A27" s="611" t="s">
        <v>153</v>
      </c>
      <c r="B27" s="611"/>
      <c r="C27" s="611">
        <v>5191.01</v>
      </c>
      <c r="D27" s="611"/>
      <c r="E27" s="611"/>
    </row>
    <row r="28" customFormat="1" spans="1:7">
      <c r="A28" s="611" t="s">
        <v>154</v>
      </c>
      <c r="B28" s="611"/>
      <c r="C28" s="617">
        <v>2920.77</v>
      </c>
      <c r="D28" s="611">
        <v>1467.43</v>
      </c>
      <c r="E28" s="611"/>
    </row>
    <row r="29" customFormat="1" spans="1:7">
      <c r="A29" s="611" t="s">
        <v>90</v>
      </c>
      <c r="B29" s="611">
        <v>2383.6</v>
      </c>
      <c r="C29" s="611"/>
      <c r="D29" s="611"/>
      <c r="E29" s="611"/>
    </row>
    <row r="30" customFormat="1" spans="1:7">
      <c r="A30" s="611" t="s">
        <v>156</v>
      </c>
      <c r="B30" s="617">
        <f>SUM(B23:B29)</f>
        <v>13429.16</v>
      </c>
      <c r="C30" s="617">
        <f>SUM(C23:C29)</f>
        <v>74520.95</v>
      </c>
      <c r="D30" s="617">
        <f>SUM(D23:D29)</f>
        <v>10841.57</v>
      </c>
      <c r="E30" s="617">
        <f>SUM(E23:E29)</f>
        <v>1386.67</v>
      </c>
      <c r="F30">
        <v>99348.5</v>
      </c>
    </row>
    <row r="32" customFormat="1" spans="1:7">
      <c r="F32">
        <v>100178.35</v>
      </c>
    </row>
    <row r="33" customFormat="1" spans="1:6">
      <c r="F33">
        <f>F32-F30</f>
        <v>829.850000000006</v>
      </c>
    </row>
    <row r="36" customFormat="1" spans="1:6">
      <c r="B36" t="s">
        <v>157</v>
      </c>
      <c r="C36" t="s">
        <v>158</v>
      </c>
      <c r="D36" t="s">
        <v>159</v>
      </c>
    </row>
    <row r="37" customFormat="1" spans="1:6">
      <c r="A37" t="s">
        <v>160</v>
      </c>
      <c r="B37">
        <v>45891.47</v>
      </c>
      <c r="C37">
        <f>39588.05-E24</f>
        <v>38758.2</v>
      </c>
      <c r="D37">
        <f t="shared" ref="D37:D39" si="2">C37/B37</f>
        <v>0.844562181163515</v>
      </c>
    </row>
    <row r="38" customFormat="1" spans="1:6">
      <c r="A38" t="s">
        <v>161</v>
      </c>
      <c r="B38">
        <v>19421.44</v>
      </c>
      <c r="C38">
        <f>12184.73-E26</f>
        <v>12006.4</v>
      </c>
      <c r="D38">
        <f t="shared" si="2"/>
        <v>0.618203387596388</v>
      </c>
    </row>
    <row r="39" customFormat="1" spans="1:6">
      <c r="A39" t="s">
        <v>162</v>
      </c>
      <c r="B39">
        <v>62253.32</v>
      </c>
      <c r="C39">
        <f>48405.57-E25</f>
        <v>48027.08</v>
      </c>
      <c r="D39">
        <f t="shared" si="2"/>
        <v>0.771478211925083</v>
      </c>
    </row>
  </sheetData>
  <pageMargins left="0.75" right="0.75" top="1" bottom="1" header="0.5" footer="0.5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J11" sqref="J11"/>
    </sheetView>
  </sheetViews>
  <sheetFormatPr defaultColWidth="9" defaultRowHeight="14.25" outlineLevelCol="6"/>
  <cols>
    <col min="1" max="1" width="18.625" customWidth="1"/>
    <col min="2" max="2" width="21.875" customWidth="1"/>
    <col min="3" max="3" width="21" customWidth="1"/>
    <col min="4" max="4" width="18.875" customWidth="1"/>
    <col min="5" max="5" width="27.375" customWidth="1"/>
    <col min="6" max="6" width="21.625" customWidth="1"/>
    <col min="7" max="7" width="28.5" customWidth="1"/>
    <col min="8" max="8" width="12.625"/>
  </cols>
  <sheetData>
    <row r="1" spans="1:7">
      <c r="A1" t="s">
        <v>118</v>
      </c>
    </row>
    <row r="3" ht="20.25" spans="1:7">
      <c r="A3" s="610" t="s">
        <v>163</v>
      </c>
      <c r="B3" s="610"/>
      <c r="C3" s="610"/>
      <c r="D3" s="610"/>
      <c r="E3" s="610"/>
      <c r="F3" s="610"/>
      <c r="G3" s="610"/>
    </row>
    <row r="4" spans="1:7">
      <c r="A4" s="611" t="s">
        <v>164</v>
      </c>
      <c r="B4" s="611" t="s">
        <v>165</v>
      </c>
      <c r="C4" s="611" t="s">
        <v>166</v>
      </c>
      <c r="D4" s="611" t="s">
        <v>103</v>
      </c>
      <c r="E4" s="611" t="s">
        <v>104</v>
      </c>
      <c r="F4" s="611" t="s">
        <v>167</v>
      </c>
      <c r="G4" s="611" t="s">
        <v>68</v>
      </c>
    </row>
    <row r="5" spans="1:7">
      <c r="A5" s="611">
        <v>2025.12</v>
      </c>
      <c r="B5" s="612">
        <v>36339000</v>
      </c>
      <c r="C5" s="612">
        <v>1000155.96</v>
      </c>
      <c r="D5" s="612">
        <v>70010.92</v>
      </c>
      <c r="E5" s="612">
        <v>30004.68</v>
      </c>
      <c r="F5" s="612">
        <v>20003.12</v>
      </c>
      <c r="G5" s="612">
        <f>SUM(C5:F5)</f>
        <v>1120174.68</v>
      </c>
    </row>
    <row r="6" spans="1:7">
      <c r="B6" s="613"/>
      <c r="C6" s="613"/>
      <c r="D6" s="613"/>
      <c r="E6" s="613"/>
      <c r="F6" s="613"/>
      <c r="G6" s="613"/>
    </row>
    <row r="7" spans="1:7">
      <c r="B7" s="613"/>
      <c r="C7" s="613"/>
      <c r="D7" s="613"/>
      <c r="E7" s="613"/>
      <c r="F7" s="613"/>
      <c r="G7" s="613"/>
    </row>
    <row r="8" spans="1:7">
      <c r="B8" s="613"/>
      <c r="C8" s="613"/>
      <c r="D8" s="613"/>
      <c r="E8" s="613"/>
      <c r="F8" s="613"/>
      <c r="G8" s="613"/>
    </row>
    <row r="9" spans="1:7">
      <c r="B9" s="613"/>
      <c r="C9" s="613"/>
      <c r="D9" s="613"/>
      <c r="E9" s="613"/>
      <c r="F9" s="613"/>
      <c r="G9" s="613"/>
    </row>
    <row r="11" ht="20.25" spans="1:7">
      <c r="A11" s="610" t="s">
        <v>168</v>
      </c>
      <c r="B11" s="610"/>
      <c r="C11" s="610"/>
      <c r="D11" s="610"/>
      <c r="E11" s="610"/>
      <c r="F11" s="610"/>
      <c r="G11" s="610"/>
    </row>
    <row r="12" spans="1:7">
      <c r="A12" s="611" t="s">
        <v>169</v>
      </c>
      <c r="B12" s="611" t="s">
        <v>165</v>
      </c>
      <c r="C12" s="611" t="s">
        <v>166</v>
      </c>
      <c r="D12" s="611" t="s">
        <v>103</v>
      </c>
      <c r="E12" s="611" t="s">
        <v>104</v>
      </c>
      <c r="F12" s="611" t="s">
        <v>167</v>
      </c>
      <c r="G12" s="611" t="s">
        <v>68</v>
      </c>
    </row>
    <row r="13" spans="1:7">
      <c r="A13" s="611">
        <v>2025.12</v>
      </c>
      <c r="B13" s="612">
        <v>7056644</v>
      </c>
      <c r="C13" s="612">
        <v>194219.56</v>
      </c>
      <c r="D13" s="612">
        <v>13595.37</v>
      </c>
      <c r="E13" s="612">
        <v>5826.59</v>
      </c>
      <c r="F13" s="612">
        <v>3884.39</v>
      </c>
      <c r="G13" s="612">
        <f>SUM(C13:F13)</f>
        <v>217525.91</v>
      </c>
    </row>
    <row r="14" spans="1:7">
      <c r="A14" s="611">
        <v>2026.1</v>
      </c>
      <c r="B14" s="612">
        <v>5700466</v>
      </c>
      <c r="C14" s="612">
        <v>156893.56</v>
      </c>
      <c r="D14" s="612">
        <v>10982.55</v>
      </c>
      <c r="E14" s="612">
        <v>4706.81</v>
      </c>
      <c r="F14" s="612">
        <v>3137.87</v>
      </c>
      <c r="G14" s="612">
        <f t="shared" ref="G14:G22" si="0">SUM(C14:F14)</f>
        <v>175720.79</v>
      </c>
    </row>
    <row r="15" spans="1:7">
      <c r="A15" s="611">
        <v>2026.2</v>
      </c>
      <c r="B15" s="612">
        <v>4315000</v>
      </c>
      <c r="C15" s="612">
        <v>118761.47</v>
      </c>
      <c r="D15" s="612">
        <v>8313.3</v>
      </c>
      <c r="E15" s="612">
        <v>3562.84</v>
      </c>
      <c r="F15" s="612">
        <v>2375.23</v>
      </c>
      <c r="G15" s="612">
        <f t="shared" si="0"/>
        <v>133012.84</v>
      </c>
    </row>
    <row r="16" spans="1:7">
      <c r="A16" s="611">
        <v>2026.3</v>
      </c>
      <c r="B16" s="612">
        <v>8229246</v>
      </c>
      <c r="C16" s="612">
        <v>226493.01</v>
      </c>
      <c r="D16" s="612">
        <v>15854.51</v>
      </c>
      <c r="E16" s="612">
        <v>6794.79</v>
      </c>
      <c r="F16" s="612">
        <v>4529.86</v>
      </c>
      <c r="G16" s="612">
        <f t="shared" si="0"/>
        <v>253672.17</v>
      </c>
    </row>
    <row r="17" spans="1:7">
      <c r="A17" s="611"/>
      <c r="B17" s="612"/>
      <c r="C17" s="612"/>
      <c r="D17" s="612"/>
      <c r="E17" s="612"/>
      <c r="F17" s="612"/>
      <c r="G17" s="612">
        <f t="shared" si="0"/>
        <v>0</v>
      </c>
    </row>
    <row r="18" spans="1:7">
      <c r="A18" s="611"/>
      <c r="B18" s="612"/>
      <c r="C18" s="612"/>
      <c r="D18" s="612"/>
      <c r="E18" s="612"/>
      <c r="F18" s="612"/>
      <c r="G18" s="612">
        <f t="shared" si="0"/>
        <v>0</v>
      </c>
    </row>
    <row r="19" spans="1:7">
      <c r="A19" s="611"/>
      <c r="B19" s="612"/>
      <c r="C19" s="612"/>
      <c r="D19" s="612"/>
      <c r="E19" s="612"/>
      <c r="F19" s="612"/>
      <c r="G19" s="612">
        <f t="shared" si="0"/>
        <v>0</v>
      </c>
    </row>
    <row r="20" spans="1:7">
      <c r="A20" s="611"/>
      <c r="B20" s="612"/>
      <c r="C20" s="612"/>
      <c r="D20" s="612"/>
      <c r="E20" s="612"/>
      <c r="F20" s="612"/>
      <c r="G20" s="612">
        <f t="shared" si="0"/>
        <v>0</v>
      </c>
    </row>
    <row r="21" spans="1:7">
      <c r="A21" s="611"/>
      <c r="B21" s="612"/>
      <c r="C21" s="612"/>
      <c r="D21" s="612"/>
      <c r="E21" s="612"/>
      <c r="F21" s="612"/>
      <c r="G21" s="612">
        <f t="shared" si="0"/>
        <v>0</v>
      </c>
    </row>
    <row r="22" spans="1:7">
      <c r="A22" s="611"/>
      <c r="B22" s="612"/>
      <c r="C22" s="612"/>
      <c r="D22" s="612"/>
      <c r="E22" s="612"/>
      <c r="F22" s="612"/>
      <c r="G22" s="612">
        <f t="shared" si="0"/>
        <v>0</v>
      </c>
    </row>
    <row r="23" spans="1:7">
      <c r="A23" s="611" t="s">
        <v>156</v>
      </c>
      <c r="B23" s="612">
        <f t="shared" ref="B23:G23" si="1">SUM(B13:B22)</f>
        <v>25301356</v>
      </c>
      <c r="C23" s="612">
        <f t="shared" si="1"/>
        <v>696367.6</v>
      </c>
      <c r="D23" s="612">
        <f t="shared" si="1"/>
        <v>48745.73</v>
      </c>
      <c r="E23" s="612">
        <f t="shared" si="1"/>
        <v>20891.03</v>
      </c>
      <c r="F23" s="612">
        <f t="shared" si="1"/>
        <v>13927.35</v>
      </c>
      <c r="G23" s="612">
        <f t="shared" si="1"/>
        <v>779931.71</v>
      </c>
    </row>
    <row r="24" spans="1:7">
      <c r="A24" s="614" t="s">
        <v>170</v>
      </c>
      <c r="B24" s="615">
        <f t="shared" ref="B24:G24" si="2">B5-B23</f>
        <v>11037644</v>
      </c>
      <c r="C24" s="615">
        <f t="shared" si="2"/>
        <v>303788.36</v>
      </c>
      <c r="D24" s="615">
        <f t="shared" si="2"/>
        <v>21265.19</v>
      </c>
      <c r="E24" s="615">
        <f t="shared" si="2"/>
        <v>9113.65</v>
      </c>
      <c r="F24" s="615">
        <f t="shared" si="2"/>
        <v>6075.77</v>
      </c>
      <c r="G24" s="615">
        <f t="shared" si="2"/>
        <v>340242.97</v>
      </c>
    </row>
  </sheetData>
  <mergeCells count="2">
    <mergeCell ref="A3:G3"/>
    <mergeCell ref="A11:G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U166"/>
  <sheetViews>
    <sheetView zoomScale="85" zoomScaleNormal="85" topLeftCell="CA1" workbookViewId="0">
      <pane ySplit="3" topLeftCell="A143" activePane="bottomLeft" state="frozen"/>
      <selection/>
      <selection pane="bottomLeft" activeCell="G156" sqref="G156"/>
    </sheetView>
  </sheetViews>
  <sheetFormatPr defaultColWidth="9" defaultRowHeight="33" customHeight="1"/>
  <cols>
    <col min="1" max="1" width="5.55833333333333" style="204" customWidth="1"/>
    <col min="2" max="2" width="8.59166666666667" style="204" customWidth="1"/>
    <col min="3" max="3" width="12.625" style="204" customWidth="1"/>
    <col min="4" max="4" width="17.625" style="204" customWidth="1"/>
    <col min="5" max="5" width="14.75" style="204" customWidth="1"/>
    <col min="6" max="6" width="20.375" style="204" customWidth="1"/>
    <col min="7" max="7" width="24.8416666666667" style="204" customWidth="1"/>
    <col min="8" max="8" width="9.025" style="204" customWidth="1"/>
    <col min="9" max="9" width="10.25" style="204" customWidth="1"/>
    <col min="10" max="10" width="8.5" style="204" customWidth="1"/>
    <col min="11" max="11" width="14" style="204" customWidth="1"/>
    <col min="12" max="12" width="14.125" style="204" customWidth="1"/>
    <col min="13" max="13" width="11.375" style="204" customWidth="1"/>
    <col min="14" max="14" width="20.6166666666667" style="519" customWidth="1"/>
    <col min="15" max="15" width="16.5" style="431" customWidth="1"/>
    <col min="16" max="16" width="16.5" style="204" customWidth="1"/>
    <col min="17" max="17" width="25.1583333333333" style="204" customWidth="1"/>
    <col min="18" max="18" width="27.3416666666667" style="204" customWidth="1"/>
    <col min="19" max="19" width="17.35" style="435" customWidth="1"/>
    <col min="20" max="20" width="16.75" style="431" customWidth="1"/>
    <col min="21" max="21" width="13.375" style="204" customWidth="1"/>
    <col min="22" max="22" width="21.875" style="204" customWidth="1"/>
    <col min="23" max="23" width="18.5" style="204" customWidth="1"/>
    <col min="24" max="24" width="20.125" style="431" customWidth="1"/>
    <col min="25" max="25" width="17.5" style="204" customWidth="1"/>
    <col min="26" max="26" width="18.25" style="431" customWidth="1"/>
    <col min="27" max="27" width="15.625" style="204" customWidth="1"/>
    <col min="28" max="28" width="19.625" style="431" customWidth="1"/>
    <col min="29" max="29" width="15.25" style="204" customWidth="1"/>
    <col min="30" max="30" width="18.5" style="204" customWidth="1"/>
    <col min="31" max="31" width="13.75" style="204" customWidth="1"/>
    <col min="32" max="32" width="18.125" style="204" customWidth="1"/>
    <col min="33" max="33" width="13.75" style="204" customWidth="1"/>
    <col min="34" max="34" width="16.25" style="204" customWidth="1"/>
    <col min="35" max="35" width="13.75" style="204" customWidth="1"/>
    <col min="36" max="36" width="17" style="204" customWidth="1"/>
    <col min="37" max="37" width="13.75" style="204" customWidth="1"/>
    <col min="38" max="38" width="20.375" style="431" customWidth="1"/>
    <col min="39" max="39" width="10.4" style="204" customWidth="1"/>
    <col min="40" max="40" width="11.5" style="204" customWidth="1"/>
    <col min="41" max="41" width="22.025" style="578" customWidth="1"/>
    <col min="42" max="42" width="19.8" style="204" customWidth="1"/>
    <col min="43" max="43" width="13.2" style="204" customWidth="1"/>
    <col min="44" max="44" width="23.2" style="204" customWidth="1"/>
    <col min="45" max="45" width="8.7" style="204" customWidth="1"/>
    <col min="46" max="48" width="12.9" style="431" customWidth="1"/>
    <col min="49" max="49" width="11.625" style="431" customWidth="1"/>
    <col min="50" max="50" width="11.5" style="431" customWidth="1"/>
    <col min="51" max="51" width="12.875" style="431" customWidth="1"/>
    <col min="52" max="52" width="11.5" style="431" customWidth="1"/>
    <col min="53" max="54" width="14.375" style="431" customWidth="1"/>
    <col min="55" max="55" width="20" style="431" customWidth="1"/>
    <col min="56" max="56" width="10.375" style="579" customWidth="1"/>
    <col min="57" max="59" width="17.25" style="431" customWidth="1"/>
    <col min="60" max="60" width="21.525" style="431" customWidth="1"/>
    <col min="61" max="62" width="16.75" style="431" customWidth="1"/>
    <col min="63" max="68" width="16.8083333333333" style="431" customWidth="1"/>
    <col min="69" max="69" width="19.25" style="431" customWidth="1"/>
    <col min="70" max="70" width="16.8083333333333" style="431" customWidth="1"/>
    <col min="71" max="71" width="18.25" style="431" customWidth="1"/>
    <col min="72" max="72" width="16.8083333333333" style="431" customWidth="1"/>
    <col min="73" max="73" width="18.875" style="431" customWidth="1"/>
    <col min="74" max="81" width="16.8083333333333" style="431" customWidth="1"/>
    <col min="82" max="82" width="13.125" style="431" customWidth="1"/>
    <col min="83" max="84" width="15.875" style="431" customWidth="1"/>
    <col min="85" max="85" width="13.125" style="431" customWidth="1"/>
    <col min="86" max="86" width="21.5" style="204" customWidth="1"/>
    <col min="87" max="87" width="11.7166666666667" style="204" customWidth="1"/>
    <col min="88" max="89" width="9" style="204" customWidth="1"/>
    <col min="90" max="90" width="10.4166666666667" style="204" customWidth="1"/>
    <col min="91" max="91" width="16.0833333333333" style="204" customWidth="1"/>
    <col min="92" max="92" width="11.5" style="204" customWidth="1"/>
    <col min="93" max="93" width="13.5916666666667" style="204" customWidth="1"/>
    <col min="94" max="94" width="12.025" style="204" customWidth="1"/>
    <col min="95" max="95" width="11.25" style="204" customWidth="1"/>
    <col min="96" max="96" width="9" style="204"/>
    <col min="97" max="97" width="11.5" style="204"/>
    <col min="98" max="16384" width="9" style="204"/>
  </cols>
  <sheetData>
    <row r="1" s="576" customFormat="1" customHeight="1" spans="1:93">
      <c r="A1" s="576" t="s">
        <v>171</v>
      </c>
      <c r="N1" s="580"/>
      <c r="O1" s="581"/>
      <c r="S1" s="582"/>
      <c r="T1" s="581"/>
      <c r="X1" s="581"/>
      <c r="Z1" s="581"/>
      <c r="AB1" s="581"/>
      <c r="AL1" s="581"/>
      <c r="AO1" s="583"/>
      <c r="AT1" s="581"/>
      <c r="AU1" s="581"/>
      <c r="AV1" s="581"/>
      <c r="AW1" s="581"/>
      <c r="AX1" s="581"/>
      <c r="AY1" s="581"/>
      <c r="AZ1" s="581"/>
      <c r="BA1" s="581"/>
      <c r="BB1" s="581"/>
      <c r="BC1" s="581"/>
      <c r="BD1" s="584"/>
      <c r="BE1" s="581"/>
      <c r="BF1" s="581"/>
      <c r="BG1" s="581"/>
      <c r="BH1" s="581"/>
      <c r="BI1" s="581"/>
      <c r="BJ1" s="581"/>
      <c r="BK1" s="431"/>
      <c r="BL1" s="431"/>
      <c r="BM1" s="431"/>
      <c r="BN1" s="431"/>
      <c r="BO1" s="431"/>
      <c r="BP1" s="431"/>
      <c r="BQ1" s="431"/>
      <c r="BR1" s="431"/>
      <c r="BS1" s="431"/>
      <c r="BT1" s="431"/>
      <c r="BU1" s="431"/>
      <c r="BV1" s="431"/>
      <c r="BW1" s="431"/>
      <c r="BX1" s="431"/>
      <c r="BY1" s="431"/>
      <c r="BZ1" s="431"/>
      <c r="CA1" s="431"/>
      <c r="CB1" s="431"/>
      <c r="CC1" s="431"/>
      <c r="CD1" s="581"/>
      <c r="CE1" s="581"/>
      <c r="CF1" s="581"/>
      <c r="CG1" s="581"/>
    </row>
    <row r="2" s="576" customFormat="1" ht="16" customHeight="1" spans="1:93">
      <c r="A2" s="576" t="s">
        <v>38</v>
      </c>
      <c r="B2" s="576" t="s">
        <v>172</v>
      </c>
      <c r="C2" s="585" t="s">
        <v>173</v>
      </c>
      <c r="D2" s="576" t="s">
        <v>174</v>
      </c>
      <c r="E2" s="576" t="s">
        <v>175</v>
      </c>
      <c r="F2" s="576" t="s">
        <v>176</v>
      </c>
      <c r="G2" s="576" t="s">
        <v>177</v>
      </c>
      <c r="H2" s="576" t="s">
        <v>39</v>
      </c>
      <c r="I2" s="576" t="s">
        <v>178</v>
      </c>
      <c r="J2" s="576" t="s">
        <v>179</v>
      </c>
      <c r="K2" s="585" t="s">
        <v>180</v>
      </c>
      <c r="L2" s="576" t="s">
        <v>181</v>
      </c>
      <c r="M2" s="576" t="s">
        <v>182</v>
      </c>
      <c r="N2" s="580" t="s">
        <v>183</v>
      </c>
      <c r="O2" s="581" t="s">
        <v>184</v>
      </c>
      <c r="P2" s="583" t="s">
        <v>185</v>
      </c>
      <c r="Q2" s="583" t="s">
        <v>186</v>
      </c>
      <c r="R2" s="583"/>
      <c r="S2" s="582"/>
      <c r="T2" s="586" t="s">
        <v>187</v>
      </c>
      <c r="U2" s="576" t="s">
        <v>188</v>
      </c>
      <c r="V2" s="576" t="s">
        <v>189</v>
      </c>
      <c r="W2" s="576" t="s">
        <v>190</v>
      </c>
      <c r="X2" s="581" t="s">
        <v>191</v>
      </c>
      <c r="Z2" s="581"/>
      <c r="AB2" s="581"/>
      <c r="AL2" s="581" t="s">
        <v>192</v>
      </c>
      <c r="AM2" s="585" t="s">
        <v>193</v>
      </c>
      <c r="AN2" s="576" t="s">
        <v>194</v>
      </c>
      <c r="AO2" s="583" t="s">
        <v>59</v>
      </c>
      <c r="AP2" s="576" t="s">
        <v>195</v>
      </c>
      <c r="AQ2" s="576" t="s">
        <v>47</v>
      </c>
      <c r="AT2" s="587" t="s">
        <v>196</v>
      </c>
      <c r="AU2" s="588" t="s">
        <v>197</v>
      </c>
      <c r="AV2" s="588" t="s">
        <v>198</v>
      </c>
      <c r="AW2" s="588" t="s">
        <v>199</v>
      </c>
      <c r="AX2" s="588" t="s">
        <v>200</v>
      </c>
      <c r="AY2" s="588" t="s">
        <v>201</v>
      </c>
      <c r="AZ2" s="588" t="s">
        <v>202</v>
      </c>
      <c r="BA2" s="588" t="s">
        <v>203</v>
      </c>
      <c r="BB2" s="588" t="s">
        <v>204</v>
      </c>
      <c r="BC2" s="589" t="s">
        <v>205</v>
      </c>
      <c r="BD2" s="590" t="s">
        <v>206</v>
      </c>
      <c r="BE2" s="591" t="s">
        <v>207</v>
      </c>
      <c r="BF2" s="591" t="s">
        <v>208</v>
      </c>
      <c r="BG2" s="591" t="s">
        <v>209</v>
      </c>
      <c r="BH2" s="591" t="s">
        <v>210</v>
      </c>
      <c r="BI2" s="591" t="s">
        <v>211</v>
      </c>
      <c r="BJ2" s="591" t="s">
        <v>212</v>
      </c>
      <c r="BK2" s="591" t="s">
        <v>213</v>
      </c>
      <c r="BL2" s="591" t="s">
        <v>214</v>
      </c>
      <c r="BM2" s="591" t="s">
        <v>215</v>
      </c>
      <c r="BN2" s="591" t="s">
        <v>216</v>
      </c>
      <c r="BO2" s="591" t="s">
        <v>217</v>
      </c>
      <c r="BP2" s="591" t="s">
        <v>218</v>
      </c>
      <c r="BQ2" s="591" t="s">
        <v>219</v>
      </c>
      <c r="BR2" s="591" t="s">
        <v>220</v>
      </c>
      <c r="BS2" s="591" t="s">
        <v>221</v>
      </c>
      <c r="BT2" s="591" t="s">
        <v>222</v>
      </c>
      <c r="BU2" s="591" t="s">
        <v>223</v>
      </c>
      <c r="BV2" s="591" t="s">
        <v>224</v>
      </c>
      <c r="BW2" s="591" t="s">
        <v>225</v>
      </c>
      <c r="BX2" s="591" t="s">
        <v>226</v>
      </c>
      <c r="BY2" s="591" t="s">
        <v>227</v>
      </c>
      <c r="BZ2" s="591" t="s">
        <v>228</v>
      </c>
      <c r="CA2" s="591" t="s">
        <v>229</v>
      </c>
      <c r="CB2" s="591" t="s">
        <v>230</v>
      </c>
      <c r="CC2" s="591" t="s">
        <v>231</v>
      </c>
      <c r="CD2" s="591" t="s">
        <v>232</v>
      </c>
      <c r="CE2" s="591" t="s">
        <v>233</v>
      </c>
      <c r="CF2" s="591" t="s">
        <v>234</v>
      </c>
      <c r="CG2" s="591"/>
      <c r="CH2" s="576" t="s">
        <v>235</v>
      </c>
      <c r="CJ2" s="102" t="s">
        <v>108</v>
      </c>
      <c r="CK2" s="102" t="s">
        <v>236</v>
      </c>
      <c r="CL2" s="113"/>
      <c r="CN2" s="439"/>
      <c r="CO2" s="439" t="s">
        <v>237</v>
      </c>
    </row>
    <row r="3" s="576" customFormat="1" ht="20" customHeight="1" spans="1:93">
      <c r="C3" s="585"/>
      <c r="N3" s="580"/>
      <c r="O3" s="581"/>
      <c r="P3" s="583"/>
      <c r="Q3" s="583" t="s">
        <v>238</v>
      </c>
      <c r="R3" s="583" t="s">
        <v>239</v>
      </c>
      <c r="S3" s="582"/>
      <c r="T3" s="581"/>
      <c r="X3" s="581" t="s">
        <v>240</v>
      </c>
      <c r="Y3" s="576" t="s">
        <v>241</v>
      </c>
      <c r="Z3" s="581" t="s">
        <v>242</v>
      </c>
      <c r="AA3" s="592" t="s">
        <v>241</v>
      </c>
      <c r="AB3" s="581" t="s">
        <v>243</v>
      </c>
      <c r="AC3" s="592" t="s">
        <v>241</v>
      </c>
      <c r="AD3" s="576" t="s">
        <v>244</v>
      </c>
      <c r="AE3" s="576" t="s">
        <v>241</v>
      </c>
      <c r="AF3" s="576" t="s">
        <v>245</v>
      </c>
      <c r="AG3" s="576" t="s">
        <v>241</v>
      </c>
      <c r="AH3" s="576" t="s">
        <v>246</v>
      </c>
      <c r="AI3" s="576" t="s">
        <v>241</v>
      </c>
      <c r="AJ3" s="576" t="s">
        <v>247</v>
      </c>
      <c r="AK3" s="576" t="s">
        <v>241</v>
      </c>
      <c r="AL3" s="581"/>
      <c r="AO3" s="583"/>
      <c r="AQ3" s="576" t="s">
        <v>248</v>
      </c>
      <c r="AR3" s="576" t="s">
        <v>249</v>
      </c>
      <c r="AS3" s="576" t="s">
        <v>250</v>
      </c>
      <c r="AT3" s="587"/>
      <c r="AU3" s="588"/>
      <c r="AV3" s="588"/>
      <c r="AW3" s="588"/>
      <c r="AX3" s="588"/>
      <c r="AY3" s="588"/>
      <c r="AZ3" s="588"/>
      <c r="BA3" s="588"/>
      <c r="BB3" s="588"/>
      <c r="BC3" s="589"/>
      <c r="BD3" s="590"/>
      <c r="BE3" s="591"/>
      <c r="BF3" s="591"/>
      <c r="BG3" s="591"/>
      <c r="BH3" s="591"/>
      <c r="BI3" s="591"/>
      <c r="BJ3" s="591"/>
      <c r="BK3" s="591"/>
      <c r="BL3" s="591"/>
      <c r="BM3" s="591"/>
      <c r="BN3" s="591"/>
      <c r="BO3" s="591"/>
      <c r="BP3" s="591"/>
      <c r="BQ3" s="591"/>
      <c r="BR3" s="591"/>
      <c r="BS3" s="591"/>
      <c r="BT3" s="591"/>
      <c r="BU3" s="591"/>
      <c r="BV3" s="591"/>
      <c r="BW3" s="591"/>
      <c r="BX3" s="591"/>
      <c r="BY3" s="591"/>
      <c r="BZ3" s="591"/>
      <c r="CA3" s="591"/>
      <c r="CB3" s="591"/>
      <c r="CC3" s="591"/>
      <c r="CD3" s="591"/>
      <c r="CE3" s="591"/>
      <c r="CF3" s="591"/>
      <c r="CG3" s="591"/>
      <c r="CK3" s="102"/>
      <c r="CL3" s="585"/>
      <c r="CN3" s="439"/>
      <c r="CO3" s="439"/>
    </row>
    <row r="4" s="385" customFormat="1" customHeight="1" spans="1:93">
      <c r="A4" s="385">
        <v>1</v>
      </c>
      <c r="B4" s="385"/>
      <c r="C4" s="471">
        <v>45566</v>
      </c>
      <c r="D4" s="385">
        <v>20240005549</v>
      </c>
      <c r="F4" s="456" t="s">
        <v>251</v>
      </c>
      <c r="G4" s="142" t="s">
        <v>252</v>
      </c>
      <c r="H4" s="385" t="s">
        <v>253</v>
      </c>
      <c r="I4" s="456" t="s">
        <v>254</v>
      </c>
      <c r="J4" s="456" t="s">
        <v>255</v>
      </c>
      <c r="K4" s="385">
        <v>68.42</v>
      </c>
      <c r="L4" s="385">
        <v>68.42</v>
      </c>
      <c r="M4" s="385">
        <v>20868.5</v>
      </c>
      <c r="N4" s="469">
        <v>1427823</v>
      </c>
      <c r="O4" s="145">
        <v>22746.96</v>
      </c>
      <c r="P4" s="385"/>
      <c r="Q4" s="385">
        <v>1309929.36</v>
      </c>
      <c r="R4" s="1026" t="s">
        <v>256</v>
      </c>
      <c r="S4" s="471">
        <v>45600</v>
      </c>
      <c r="T4" s="145"/>
      <c r="U4" s="440"/>
      <c r="V4" s="440"/>
      <c r="W4" s="440" t="s">
        <v>257</v>
      </c>
      <c r="X4" s="145">
        <v>10000</v>
      </c>
      <c r="Y4" s="440">
        <v>45561</v>
      </c>
      <c r="Z4" s="145">
        <f>1060000+57823</f>
        <v>1117823</v>
      </c>
      <c r="AA4" s="440" t="s">
        <v>258</v>
      </c>
      <c r="AB4" s="145">
        <v>300000</v>
      </c>
      <c r="AC4" s="440" t="s">
        <v>259</v>
      </c>
      <c r="AL4" s="145">
        <f>X4+Z4+AB4+AD4+AF4+AH4+AJ4</f>
        <v>1427823</v>
      </c>
      <c r="AO4" s="446">
        <f t="shared" ref="AO4:AO9" si="0">N4-AL4</f>
        <v>0</v>
      </c>
      <c r="AP4" s="385">
        <v>13579043254</v>
      </c>
      <c r="AT4" s="447">
        <f>AU4+AV4+AW4+AX4+AY4+AZ4+BA4+BB4</f>
        <v>400</v>
      </c>
      <c r="AU4" s="447">
        <f>200</f>
        <v>200</v>
      </c>
      <c r="AV4" s="145">
        <v>200</v>
      </c>
      <c r="AW4" s="145"/>
      <c r="AX4" s="145"/>
      <c r="AY4" s="145"/>
      <c r="AZ4" s="145"/>
      <c r="BA4" s="145"/>
      <c r="BB4" s="145"/>
      <c r="BC4" s="145">
        <f>SUM(BE4:CG4)</f>
        <v>1427823</v>
      </c>
      <c r="BD4" s="140">
        <f>1%+0.18%+0.2%</f>
        <v>0.0138</v>
      </c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>
        <v>1427823</v>
      </c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385"/>
      <c r="CJ4" s="385" t="s">
        <v>260</v>
      </c>
      <c r="CM4" s="385" t="s">
        <v>261</v>
      </c>
    </row>
    <row r="5" s="385" customFormat="1" customHeight="1" spans="1:93">
      <c r="A5" s="385">
        <v>2</v>
      </c>
      <c r="C5" s="471">
        <v>45401</v>
      </c>
      <c r="D5" s="385">
        <v>20240002187</v>
      </c>
      <c r="E5" s="1026" t="s">
        <v>262</v>
      </c>
      <c r="F5" s="456" t="s">
        <v>263</v>
      </c>
      <c r="G5" s="142" t="s">
        <v>264</v>
      </c>
      <c r="I5" s="456" t="s">
        <v>254</v>
      </c>
      <c r="J5" s="456" t="s">
        <v>265</v>
      </c>
      <c r="K5" s="385">
        <v>68.42</v>
      </c>
      <c r="L5" s="385">
        <v>68.42</v>
      </c>
      <c r="M5" s="385">
        <v>22700</v>
      </c>
      <c r="N5" s="469">
        <v>1553134</v>
      </c>
      <c r="O5" s="145">
        <v>22651.12</v>
      </c>
      <c r="Q5" s="385">
        <v>1424893.58</v>
      </c>
      <c r="R5" s="1026" t="s">
        <v>266</v>
      </c>
      <c r="S5" s="471">
        <v>45618</v>
      </c>
      <c r="T5" s="145"/>
      <c r="U5" s="146"/>
      <c r="V5" s="440"/>
      <c r="W5" s="440" t="s">
        <v>267</v>
      </c>
      <c r="X5" s="145">
        <v>100000</v>
      </c>
      <c r="Y5" s="146" t="s">
        <v>268</v>
      </c>
      <c r="Z5" s="145">
        <v>683134</v>
      </c>
      <c r="AA5" s="442" t="s">
        <v>269</v>
      </c>
      <c r="AB5" s="145">
        <v>770000</v>
      </c>
      <c r="AC5" s="146" t="s">
        <v>270</v>
      </c>
      <c r="AL5" s="145">
        <f>X5+Z5+AB5+AD5+AF5+AH5+AJ5</f>
        <v>1553134</v>
      </c>
      <c r="AO5" s="446">
        <f t="shared" si="0"/>
        <v>0</v>
      </c>
      <c r="AP5" s="385">
        <v>18609962209</v>
      </c>
      <c r="AT5" s="447">
        <f t="shared" ref="AT5:AT36" si="1">AU5+AV5+AW5+AX5+AY5+AZ5+BA5+BB5</f>
        <v>400</v>
      </c>
      <c r="AU5" s="447">
        <f>200</f>
        <v>200</v>
      </c>
      <c r="AV5" s="145"/>
      <c r="AW5" s="145"/>
      <c r="AX5" s="145">
        <v>200</v>
      </c>
      <c r="AY5" s="145"/>
      <c r="AZ5" s="145"/>
      <c r="BA5" s="145"/>
      <c r="BB5" s="145"/>
      <c r="BC5" s="145">
        <f t="shared" ref="BC5:BC36" si="2">SUM(BE5:CG5)</f>
        <v>1553134</v>
      </c>
      <c r="BD5" s="540">
        <f>1%+0.2%</f>
        <v>0.012</v>
      </c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>
        <v>1553134</v>
      </c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J5" s="385" t="s">
        <v>260</v>
      </c>
      <c r="CK5" s="385" t="s">
        <v>271</v>
      </c>
      <c r="CM5" s="385" t="s">
        <v>261</v>
      </c>
    </row>
    <row r="6" s="385" customFormat="1" customHeight="1" spans="1:93">
      <c r="A6" s="385">
        <v>3</v>
      </c>
      <c r="B6" s="385"/>
      <c r="C6" s="471">
        <v>45566</v>
      </c>
      <c r="D6" s="385">
        <v>20240005511</v>
      </c>
      <c r="E6" s="1026" t="s">
        <v>272</v>
      </c>
      <c r="F6" s="456" t="s">
        <v>273</v>
      </c>
      <c r="G6" s="385" t="s">
        <v>274</v>
      </c>
      <c r="I6" s="456" t="s">
        <v>254</v>
      </c>
      <c r="J6" s="456" t="s">
        <v>275</v>
      </c>
      <c r="K6" s="385">
        <v>116.65</v>
      </c>
      <c r="L6" s="385">
        <v>116.65</v>
      </c>
      <c r="M6" s="385">
        <v>21945.99</v>
      </c>
      <c r="N6" s="469">
        <v>2560000</v>
      </c>
      <c r="O6" s="145">
        <v>21618</v>
      </c>
      <c r="P6" s="385"/>
      <c r="Q6" s="385">
        <v>2348623.85</v>
      </c>
      <c r="R6" s="1026" t="s">
        <v>276</v>
      </c>
      <c r="S6" s="471">
        <v>45716</v>
      </c>
      <c r="T6" s="145"/>
      <c r="U6" s="146"/>
      <c r="W6" s="146" t="s">
        <v>277</v>
      </c>
      <c r="X6" s="145">
        <v>50000</v>
      </c>
      <c r="Y6" s="146">
        <v>45539</v>
      </c>
      <c r="Z6" s="145">
        <v>800000</v>
      </c>
      <c r="AA6" s="146">
        <v>45563</v>
      </c>
      <c r="AB6" s="145">
        <v>1710000</v>
      </c>
      <c r="AC6" s="146" t="s">
        <v>278</v>
      </c>
      <c r="AL6" s="145">
        <f>X6+Z6+AB6+AD6+AF6+AH6+AJ6</f>
        <v>2560000</v>
      </c>
      <c r="AO6" s="446">
        <f t="shared" si="0"/>
        <v>0</v>
      </c>
      <c r="AP6" s="385">
        <v>13899099509</v>
      </c>
      <c r="AT6" s="447">
        <f t="shared" si="1"/>
        <v>0</v>
      </c>
      <c r="AU6" s="142"/>
      <c r="BC6" s="145">
        <f t="shared" si="2"/>
        <v>2560000</v>
      </c>
      <c r="BD6" s="140">
        <f>1%+0.15%+0.2%</f>
        <v>0.0135</v>
      </c>
      <c r="BU6" s="385">
        <v>2560000</v>
      </c>
      <c r="CJ6" s="385" t="s">
        <v>260</v>
      </c>
      <c r="CM6" s="385" t="s">
        <v>261</v>
      </c>
    </row>
    <row r="7" s="385" customFormat="1" customHeight="1" spans="1:93">
      <c r="A7" s="385">
        <v>4</v>
      </c>
      <c r="C7" s="471">
        <v>45283</v>
      </c>
      <c r="D7" s="385">
        <v>20230010576</v>
      </c>
      <c r="E7" s="1026" t="s">
        <v>279</v>
      </c>
      <c r="F7" s="456" t="s">
        <v>280</v>
      </c>
      <c r="G7" s="385" t="s">
        <v>281</v>
      </c>
      <c r="I7" s="456" t="s">
        <v>254</v>
      </c>
      <c r="J7" s="456" t="s">
        <v>282</v>
      </c>
      <c r="K7" s="385">
        <v>68.42</v>
      </c>
      <c r="L7" s="385">
        <v>68.42</v>
      </c>
      <c r="M7" s="385">
        <v>21800</v>
      </c>
      <c r="N7" s="469">
        <v>1491556</v>
      </c>
      <c r="O7" s="145">
        <v>21560</v>
      </c>
      <c r="Q7" s="385">
        <v>1368400</v>
      </c>
      <c r="R7" s="1026" t="s">
        <v>283</v>
      </c>
      <c r="S7" s="471">
        <v>45716</v>
      </c>
      <c r="T7" s="145"/>
      <c r="U7" s="146"/>
      <c r="V7" s="146"/>
      <c r="W7" s="146" t="s">
        <v>284</v>
      </c>
      <c r="X7" s="145">
        <v>80000</v>
      </c>
      <c r="Y7" s="146" t="s">
        <v>285</v>
      </c>
      <c r="Z7" s="145">
        <f>420000+361556</f>
        <v>781556</v>
      </c>
      <c r="AA7" s="146" t="s">
        <v>286</v>
      </c>
      <c r="AB7" s="145">
        <v>100000</v>
      </c>
      <c r="AC7" s="146" t="s">
        <v>287</v>
      </c>
      <c r="AD7" s="145">
        <v>130000</v>
      </c>
      <c r="AE7" s="146" t="s">
        <v>288</v>
      </c>
      <c r="AF7" s="145">
        <v>200000</v>
      </c>
      <c r="AG7" s="146" t="s">
        <v>289</v>
      </c>
      <c r="AH7" s="145">
        <v>200000</v>
      </c>
      <c r="AI7" s="146" t="s">
        <v>289</v>
      </c>
      <c r="AL7" s="145">
        <f t="shared" ref="AL7:AL26" si="3">X7+Z7+AB7+AD7+AF7+AH7+AJ7</f>
        <v>1491556</v>
      </c>
      <c r="AO7" s="446">
        <f t="shared" si="0"/>
        <v>0</v>
      </c>
      <c r="AP7" s="385">
        <v>17399115251</v>
      </c>
      <c r="AT7" s="447">
        <f t="shared" si="1"/>
        <v>0</v>
      </c>
      <c r="AU7" s="142"/>
      <c r="BC7" s="145">
        <f t="shared" si="2"/>
        <v>1491556</v>
      </c>
      <c r="BD7" s="140">
        <f>0.8%+0.13%+0.14%</f>
        <v>0.0107</v>
      </c>
      <c r="BJ7" s="385">
        <v>861556</v>
      </c>
      <c r="BQ7" s="385">
        <v>630000</v>
      </c>
      <c r="CJ7" s="385" t="s">
        <v>260</v>
      </c>
      <c r="CK7" s="385" t="s">
        <v>271</v>
      </c>
      <c r="CM7" s="385" t="s">
        <v>261</v>
      </c>
    </row>
    <row r="8" s="385" customFormat="1" customHeight="1" spans="1:93">
      <c r="A8" s="385">
        <v>5</v>
      </c>
      <c r="C8" s="471">
        <v>45394</v>
      </c>
      <c r="D8" s="385">
        <v>20240002029</v>
      </c>
      <c r="F8" s="456" t="s">
        <v>290</v>
      </c>
      <c r="G8" s="142" t="s">
        <v>291</v>
      </c>
      <c r="I8" s="456" t="s">
        <v>254</v>
      </c>
      <c r="J8" s="456" t="s">
        <v>292</v>
      </c>
      <c r="K8" s="385">
        <v>68.42</v>
      </c>
      <c r="L8" s="385">
        <v>68.42</v>
      </c>
      <c r="M8" s="385">
        <v>21967.26</v>
      </c>
      <c r="N8" s="469">
        <v>1503000</v>
      </c>
      <c r="O8" s="145">
        <v>21960</v>
      </c>
      <c r="Q8" s="385">
        <v>1378899.08</v>
      </c>
      <c r="R8" s="1026" t="s">
        <v>293</v>
      </c>
      <c r="S8" s="471">
        <v>45716</v>
      </c>
      <c r="T8" s="145"/>
      <c r="U8" s="146"/>
      <c r="V8" s="146"/>
      <c r="W8" s="440" t="s">
        <v>294</v>
      </c>
      <c r="X8" s="145">
        <v>20000</v>
      </c>
      <c r="Y8" s="146" t="s">
        <v>295</v>
      </c>
      <c r="Z8" s="145">
        <v>783000</v>
      </c>
      <c r="AA8" s="146" t="s">
        <v>296</v>
      </c>
      <c r="AB8" s="145">
        <v>700000</v>
      </c>
      <c r="AC8" s="146" t="s">
        <v>297</v>
      </c>
      <c r="AD8" s="145"/>
      <c r="AE8" s="146"/>
      <c r="AL8" s="145">
        <f t="shared" si="3"/>
        <v>1503000</v>
      </c>
      <c r="AO8" s="446">
        <f t="shared" si="0"/>
        <v>0</v>
      </c>
      <c r="AP8" s="385">
        <v>13150241703</v>
      </c>
      <c r="AT8" s="447">
        <f t="shared" si="1"/>
        <v>200</v>
      </c>
      <c r="AU8" s="142"/>
      <c r="AV8" s="385">
        <v>200</v>
      </c>
      <c r="BC8" s="145">
        <f t="shared" si="2"/>
        <v>1503000</v>
      </c>
      <c r="BD8" s="140">
        <f>1%+0.18%+0.2%</f>
        <v>0.0138</v>
      </c>
      <c r="BN8" s="385">
        <v>803000</v>
      </c>
      <c r="BO8" s="385">
        <v>700000</v>
      </c>
      <c r="CJ8" s="385" t="s">
        <v>260</v>
      </c>
      <c r="CK8" s="385" t="s">
        <v>271</v>
      </c>
      <c r="CM8" s="385" t="s">
        <v>261</v>
      </c>
    </row>
    <row r="9" s="385" customFormat="1" ht="47" customHeight="1" spans="1:93">
      <c r="A9" s="385">
        <v>6</v>
      </c>
      <c r="C9" s="471">
        <v>45269</v>
      </c>
      <c r="D9" s="385">
        <v>20230010242</v>
      </c>
      <c r="E9" s="1026" t="s">
        <v>298</v>
      </c>
      <c r="F9" s="456" t="s">
        <v>299</v>
      </c>
      <c r="G9" s="142" t="s">
        <v>300</v>
      </c>
      <c r="I9" s="456" t="s">
        <v>254</v>
      </c>
      <c r="J9" s="456" t="s">
        <v>301</v>
      </c>
      <c r="K9" s="385">
        <v>68.42</v>
      </c>
      <c r="L9" s="385">
        <v>68.42</v>
      </c>
      <c r="M9" s="385">
        <v>22500</v>
      </c>
      <c r="N9" s="469">
        <v>1539450</v>
      </c>
      <c r="O9" s="145">
        <v>22360</v>
      </c>
      <c r="Q9" s="385">
        <v>1412339.45</v>
      </c>
      <c r="R9" s="1026" t="s">
        <v>302</v>
      </c>
      <c r="S9" s="471">
        <v>45716</v>
      </c>
      <c r="T9" s="145"/>
      <c r="V9" s="142"/>
      <c r="W9" s="142" t="s">
        <v>303</v>
      </c>
      <c r="X9" s="145">
        <v>100000</v>
      </c>
      <c r="Y9" s="385" t="s">
        <v>304</v>
      </c>
      <c r="Z9" s="385">
        <v>909450</v>
      </c>
      <c r="AA9" s="442" t="s">
        <v>305</v>
      </c>
      <c r="AB9" s="145">
        <v>530000</v>
      </c>
      <c r="AC9" s="385" t="s">
        <v>306</v>
      </c>
      <c r="AD9" s="145"/>
      <c r="AL9" s="145">
        <f t="shared" si="3"/>
        <v>1539450</v>
      </c>
      <c r="AO9" s="446">
        <f t="shared" si="0"/>
        <v>0</v>
      </c>
      <c r="AT9" s="447">
        <f t="shared" si="1"/>
        <v>500</v>
      </c>
      <c r="AU9" s="447"/>
      <c r="AV9" s="145">
        <v>200</v>
      </c>
      <c r="AW9" s="145"/>
      <c r="AX9" s="145"/>
      <c r="AY9" s="145"/>
      <c r="AZ9" s="145"/>
      <c r="BA9" s="145">
        <v>300</v>
      </c>
      <c r="BB9" s="145"/>
      <c r="BC9" s="145">
        <f t="shared" si="2"/>
        <v>1539450</v>
      </c>
      <c r="BD9" s="540">
        <f>0.9%+0.13%+0.14%</f>
        <v>0.0117</v>
      </c>
      <c r="BE9" s="145"/>
      <c r="BF9" s="145"/>
      <c r="BG9" s="145"/>
      <c r="BH9" s="145"/>
      <c r="BI9" s="145"/>
      <c r="BJ9" s="145">
        <v>1539450</v>
      </c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5"/>
      <c r="CE9" s="145"/>
      <c r="CF9" s="145"/>
      <c r="CG9" s="145"/>
      <c r="CH9" s="385"/>
      <c r="CJ9" s="385" t="s">
        <v>260</v>
      </c>
      <c r="CK9" s="385" t="s">
        <v>271</v>
      </c>
      <c r="CM9" s="385" t="s">
        <v>261</v>
      </c>
    </row>
    <row r="10" s="385" customFormat="1" ht="39" customHeight="1" spans="1:93">
      <c r="A10" s="385">
        <v>7</v>
      </c>
      <c r="C10" s="471">
        <v>45200</v>
      </c>
      <c r="D10" s="385">
        <v>20230008432</v>
      </c>
      <c r="E10" s="1026" t="s">
        <v>307</v>
      </c>
      <c r="F10" s="456" t="s">
        <v>308</v>
      </c>
      <c r="G10" s="142" t="s">
        <v>309</v>
      </c>
      <c r="I10" s="456" t="s">
        <v>254</v>
      </c>
      <c r="J10" s="456" t="s">
        <v>310</v>
      </c>
      <c r="K10" s="385">
        <v>68.42</v>
      </c>
      <c r="L10" s="385">
        <v>68.42</v>
      </c>
      <c r="M10" s="385">
        <v>22960.42</v>
      </c>
      <c r="N10" s="469">
        <v>1570952</v>
      </c>
      <c r="O10" s="145">
        <v>22760.42</v>
      </c>
      <c r="Q10" s="385">
        <v>1441240.37</v>
      </c>
      <c r="R10" s="1026" t="s">
        <v>311</v>
      </c>
      <c r="S10" s="471">
        <v>45716</v>
      </c>
      <c r="T10" s="145"/>
      <c r="W10" s="142" t="s">
        <v>312</v>
      </c>
      <c r="X10" s="145">
        <v>30000</v>
      </c>
      <c r="Y10" s="385" t="s">
        <v>313</v>
      </c>
      <c r="Z10" s="145">
        <v>760952</v>
      </c>
      <c r="AA10" s="385" t="s">
        <v>314</v>
      </c>
      <c r="AB10" s="145">
        <v>780000</v>
      </c>
      <c r="AC10" s="385" t="s">
        <v>315</v>
      </c>
      <c r="AD10" s="145"/>
      <c r="AL10" s="145">
        <f t="shared" si="3"/>
        <v>1570952</v>
      </c>
      <c r="AO10" s="446">
        <f t="shared" ref="AO10:AO25" si="4">N10-AL10</f>
        <v>0</v>
      </c>
      <c r="AT10" s="447">
        <f t="shared" si="1"/>
        <v>200</v>
      </c>
      <c r="AU10" s="447"/>
      <c r="AV10" s="145">
        <v>200</v>
      </c>
      <c r="AW10" s="145"/>
      <c r="AX10" s="145"/>
      <c r="AY10" s="145"/>
      <c r="AZ10" s="145"/>
      <c r="BA10" s="145"/>
      <c r="BB10" s="145"/>
      <c r="BC10" s="145">
        <f t="shared" si="2"/>
        <v>1570952</v>
      </c>
      <c r="BD10" s="540">
        <f>1%+0.18%+0.25%</f>
        <v>0.0143</v>
      </c>
      <c r="BE10" s="145"/>
      <c r="BF10" s="145"/>
      <c r="BG10" s="145"/>
      <c r="BH10" s="145"/>
      <c r="BI10" s="145"/>
      <c r="BJ10" s="145"/>
      <c r="BK10" s="145"/>
      <c r="BL10" s="145"/>
      <c r="BM10" s="145"/>
      <c r="BN10" s="145">
        <v>1570952</v>
      </c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5"/>
      <c r="CE10" s="145"/>
      <c r="CF10" s="145"/>
      <c r="CG10" s="145"/>
      <c r="CJ10" s="385" t="s">
        <v>260</v>
      </c>
      <c r="CK10" s="385" t="s">
        <v>271</v>
      </c>
      <c r="CM10" s="385" t="s">
        <v>261</v>
      </c>
    </row>
    <row r="11" s="385" customFormat="1" ht="60" customHeight="1" spans="1:93">
      <c r="A11" s="385">
        <v>8</v>
      </c>
      <c r="C11" s="471">
        <v>45236</v>
      </c>
      <c r="D11" s="385">
        <v>20230009415</v>
      </c>
      <c r="E11" s="1026" t="s">
        <v>316</v>
      </c>
      <c r="F11" s="456" t="s">
        <v>317</v>
      </c>
      <c r="G11" s="142" t="s">
        <v>318</v>
      </c>
      <c r="I11" s="456" t="s">
        <v>254</v>
      </c>
      <c r="J11" s="456" t="s">
        <v>319</v>
      </c>
      <c r="K11" s="385">
        <v>68.42</v>
      </c>
      <c r="L11" s="385">
        <v>68.42</v>
      </c>
      <c r="M11" s="385">
        <v>23165.74</v>
      </c>
      <c r="N11" s="469">
        <v>1585000</v>
      </c>
      <c r="O11" s="145">
        <v>22953.6</v>
      </c>
      <c r="Q11" s="385">
        <v>1454128.44</v>
      </c>
      <c r="R11" s="1026" t="s">
        <v>320</v>
      </c>
      <c r="S11" s="471">
        <v>45716</v>
      </c>
      <c r="T11" s="145"/>
      <c r="U11" s="142"/>
      <c r="V11" s="142"/>
      <c r="W11" s="142" t="s">
        <v>321</v>
      </c>
      <c r="X11" s="145">
        <v>40000</v>
      </c>
      <c r="Y11" s="142" t="s">
        <v>322</v>
      </c>
      <c r="Z11" s="145">
        <v>765000</v>
      </c>
      <c r="AA11" s="142" t="s">
        <v>323</v>
      </c>
      <c r="AB11" s="385">
        <v>780000</v>
      </c>
      <c r="AC11" s="385" t="s">
        <v>324</v>
      </c>
      <c r="AL11" s="145">
        <f t="shared" si="3"/>
        <v>1585000</v>
      </c>
      <c r="AO11" s="446">
        <f t="shared" si="4"/>
        <v>0</v>
      </c>
      <c r="AP11" s="385">
        <v>15001560586</v>
      </c>
      <c r="AT11" s="447">
        <f t="shared" si="1"/>
        <v>700</v>
      </c>
      <c r="AU11" s="447"/>
      <c r="AV11" s="145">
        <f>200+200</f>
        <v>400</v>
      </c>
      <c r="AW11" s="145"/>
      <c r="AX11" s="145"/>
      <c r="AY11" s="145"/>
      <c r="AZ11" s="145"/>
      <c r="BA11" s="145">
        <v>300</v>
      </c>
      <c r="BB11" s="145"/>
      <c r="BC11" s="145">
        <f t="shared" si="2"/>
        <v>1585000</v>
      </c>
      <c r="BD11" s="540">
        <f>1%+0.2%</f>
        <v>0.012</v>
      </c>
      <c r="BE11" s="145"/>
      <c r="BF11" s="145"/>
      <c r="BG11" s="145"/>
      <c r="BH11" s="145"/>
      <c r="BI11" s="145">
        <v>805000</v>
      </c>
      <c r="BJ11" s="145"/>
      <c r="BK11" s="145"/>
      <c r="BL11" s="145"/>
      <c r="BM11" s="145">
        <v>780000</v>
      </c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5"/>
      <c r="CE11" s="145"/>
      <c r="CF11" s="145"/>
      <c r="CG11" s="145"/>
      <c r="CH11" s="385"/>
      <c r="CJ11" s="385" t="s">
        <v>260</v>
      </c>
      <c r="CK11" s="385" t="s">
        <v>271</v>
      </c>
      <c r="CM11" s="385" t="s">
        <v>261</v>
      </c>
    </row>
    <row r="12" s="385" customFormat="1" ht="35" customHeight="1" spans="1:93">
      <c r="A12" s="385">
        <v>9</v>
      </c>
      <c r="C12" s="471">
        <v>45280</v>
      </c>
      <c r="D12" s="385">
        <v>20230010496</v>
      </c>
      <c r="E12" s="1026" t="s">
        <v>325</v>
      </c>
      <c r="F12" s="456" t="s">
        <v>326</v>
      </c>
      <c r="G12" s="142" t="s">
        <v>327</v>
      </c>
      <c r="I12" s="456" t="s">
        <v>254</v>
      </c>
      <c r="J12" s="448">
        <v>9</v>
      </c>
      <c r="K12" s="385">
        <v>68.42</v>
      </c>
      <c r="L12" s="385">
        <v>68.42</v>
      </c>
      <c r="M12" s="385">
        <v>23346.77</v>
      </c>
      <c r="N12" s="469">
        <v>1597386</v>
      </c>
      <c r="O12" s="145">
        <v>23146.77</v>
      </c>
      <c r="Q12" s="385">
        <v>1465491.74</v>
      </c>
      <c r="R12" s="1026" t="s">
        <v>328</v>
      </c>
      <c r="S12" s="471">
        <v>45716</v>
      </c>
      <c r="T12" s="145"/>
      <c r="V12" s="142" t="s">
        <v>329</v>
      </c>
      <c r="W12" s="142" t="s">
        <v>330</v>
      </c>
      <c r="X12" s="145">
        <v>20000</v>
      </c>
      <c r="Y12" s="142" t="s">
        <v>331</v>
      </c>
      <c r="Z12" s="145">
        <v>80000</v>
      </c>
      <c r="AA12" s="442" t="s">
        <v>332</v>
      </c>
      <c r="AB12" s="145">
        <f>1386+976000</f>
        <v>977386</v>
      </c>
      <c r="AC12" s="385" t="s">
        <v>333</v>
      </c>
      <c r="AD12" s="145">
        <v>520000</v>
      </c>
      <c r="AE12" s="385" t="s">
        <v>334</v>
      </c>
      <c r="AL12" s="145">
        <f t="shared" si="3"/>
        <v>1597386</v>
      </c>
      <c r="AO12" s="446">
        <f t="shared" si="4"/>
        <v>0</v>
      </c>
      <c r="AP12" s="385">
        <v>15276275398</v>
      </c>
      <c r="AT12" s="447">
        <f t="shared" si="1"/>
        <v>700</v>
      </c>
      <c r="AU12" s="447"/>
      <c r="AV12" s="145">
        <f>200+200</f>
        <v>400</v>
      </c>
      <c r="AW12" s="145"/>
      <c r="AX12" s="145"/>
      <c r="AY12" s="145"/>
      <c r="AZ12" s="145"/>
      <c r="BA12" s="145"/>
      <c r="BB12" s="145">
        <v>300</v>
      </c>
      <c r="BC12" s="145">
        <f t="shared" si="2"/>
        <v>1597386</v>
      </c>
      <c r="BD12" s="540">
        <f t="shared" ref="BD12:BD17" si="5">1%+0.18%+0.25%</f>
        <v>0.0143</v>
      </c>
      <c r="BE12" s="145"/>
      <c r="BF12" s="145"/>
      <c r="BG12" s="145"/>
      <c r="BH12" s="145"/>
      <c r="BI12" s="145"/>
      <c r="BJ12" s="145"/>
      <c r="BK12" s="145">
        <v>1597386</v>
      </c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5"/>
      <c r="CE12" s="145"/>
      <c r="CF12" s="145"/>
      <c r="CG12" s="145"/>
      <c r="CH12" s="385"/>
      <c r="CJ12" s="385" t="s">
        <v>260</v>
      </c>
      <c r="CK12" s="385" t="s">
        <v>271</v>
      </c>
      <c r="CM12" s="385" t="s">
        <v>261</v>
      </c>
    </row>
    <row r="13" s="385" customFormat="1" customHeight="1" spans="1:93">
      <c r="A13" s="385">
        <v>10</v>
      </c>
      <c r="C13" s="471">
        <v>45201</v>
      </c>
      <c r="D13" s="385">
        <v>20230008488</v>
      </c>
      <c r="E13" s="1026" t="s">
        <v>335</v>
      </c>
      <c r="F13" s="456" t="s">
        <v>336</v>
      </c>
      <c r="G13" s="142" t="s">
        <v>337</v>
      </c>
      <c r="I13" s="456" t="s">
        <v>254</v>
      </c>
      <c r="J13" s="456">
        <v>10</v>
      </c>
      <c r="K13" s="385">
        <v>68.42</v>
      </c>
      <c r="L13" s="385">
        <v>68.42</v>
      </c>
      <c r="M13" s="385">
        <v>23830.765</v>
      </c>
      <c r="N13" s="469">
        <v>1630501</v>
      </c>
      <c r="O13" s="145">
        <v>23533.12</v>
      </c>
      <c r="Q13" s="385">
        <v>1495872.48</v>
      </c>
      <c r="R13" s="1026" t="s">
        <v>338</v>
      </c>
      <c r="S13" s="471">
        <v>45716</v>
      </c>
      <c r="T13" s="145"/>
      <c r="U13" s="146"/>
      <c r="V13" s="385" t="s">
        <v>339</v>
      </c>
      <c r="W13" s="385" t="s">
        <v>340</v>
      </c>
      <c r="X13" s="145">
        <v>10000</v>
      </c>
      <c r="Y13" s="146" t="s">
        <v>341</v>
      </c>
      <c r="Z13" s="145">
        <v>90000</v>
      </c>
      <c r="AA13" s="442" t="s">
        <v>342</v>
      </c>
      <c r="AB13" s="145">
        <v>930501</v>
      </c>
      <c r="AC13" s="146" t="s">
        <v>314</v>
      </c>
      <c r="AD13" s="145">
        <v>600000</v>
      </c>
      <c r="AE13" s="146" t="s">
        <v>343</v>
      </c>
      <c r="AL13" s="145">
        <f t="shared" si="3"/>
        <v>1630501</v>
      </c>
      <c r="AO13" s="446">
        <f t="shared" si="4"/>
        <v>0</v>
      </c>
      <c r="AP13" s="385">
        <v>18299772946</v>
      </c>
      <c r="AT13" s="447">
        <f t="shared" si="1"/>
        <v>500</v>
      </c>
      <c r="AU13" s="447"/>
      <c r="AV13" s="145"/>
      <c r="AW13" s="145"/>
      <c r="AX13" s="145"/>
      <c r="AY13" s="145"/>
      <c r="AZ13" s="145">
        <v>200</v>
      </c>
      <c r="BA13" s="145"/>
      <c r="BB13" s="145">
        <v>300</v>
      </c>
      <c r="BC13" s="145">
        <f t="shared" si="2"/>
        <v>1630501</v>
      </c>
      <c r="BD13" s="140">
        <f t="shared" ref="BD13:BD15" si="6">1%+0.18%+0.25%</f>
        <v>0.0143</v>
      </c>
      <c r="BE13" s="145"/>
      <c r="BF13" s="145"/>
      <c r="BG13" s="145"/>
      <c r="BH13" s="145">
        <v>1030501</v>
      </c>
      <c r="BI13" s="145"/>
      <c r="BJ13" s="145">
        <v>600000</v>
      </c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5"/>
      <c r="CE13" s="145"/>
      <c r="CF13" s="145"/>
      <c r="CG13" s="145"/>
      <c r="CH13" s="385"/>
      <c r="CJ13" s="385" t="s">
        <v>260</v>
      </c>
      <c r="CK13" s="385" t="s">
        <v>271</v>
      </c>
      <c r="CM13" s="385" t="s">
        <v>261</v>
      </c>
    </row>
    <row r="14" s="385" customFormat="1" customHeight="1" spans="1:93">
      <c r="A14" s="385">
        <v>11</v>
      </c>
      <c r="C14" s="471">
        <v>45201</v>
      </c>
      <c r="D14" s="385">
        <v>20230008484</v>
      </c>
      <c r="E14" s="1026" t="s">
        <v>344</v>
      </c>
      <c r="F14" s="501" t="s">
        <v>345</v>
      </c>
      <c r="G14" s="142" t="s">
        <v>346</v>
      </c>
      <c r="I14" s="456" t="s">
        <v>254</v>
      </c>
      <c r="J14" s="456">
        <v>11</v>
      </c>
      <c r="K14" s="385">
        <v>98.74</v>
      </c>
      <c r="L14" s="385">
        <v>98.74</v>
      </c>
      <c r="M14" s="385">
        <v>23801.69</v>
      </c>
      <c r="N14" s="469">
        <v>2350179</v>
      </c>
      <c r="O14" s="145">
        <v>23500</v>
      </c>
      <c r="Q14" s="385">
        <v>2156127.52</v>
      </c>
      <c r="R14" s="1026" t="s">
        <v>347</v>
      </c>
      <c r="S14" s="471">
        <v>45716</v>
      </c>
      <c r="T14" s="145"/>
      <c r="U14" s="146"/>
      <c r="V14" s="440" t="s">
        <v>348</v>
      </c>
      <c r="W14" s="440" t="s">
        <v>349</v>
      </c>
      <c r="X14" s="145">
        <f>10000</f>
        <v>10000</v>
      </c>
      <c r="Y14" s="440" t="s">
        <v>341</v>
      </c>
      <c r="Z14" s="145">
        <v>90000</v>
      </c>
      <c r="AA14" s="442" t="s">
        <v>342</v>
      </c>
      <c r="AB14" s="145">
        <v>1100179</v>
      </c>
      <c r="AC14" s="146" t="s">
        <v>314</v>
      </c>
      <c r="AD14" s="145">
        <v>1150000</v>
      </c>
      <c r="AE14" s="146" t="s">
        <v>343</v>
      </c>
      <c r="AL14" s="145">
        <f t="shared" si="3"/>
        <v>2350179</v>
      </c>
      <c r="AO14" s="446">
        <f t="shared" si="4"/>
        <v>0</v>
      </c>
      <c r="AP14" s="385">
        <v>15235158196</v>
      </c>
      <c r="AT14" s="447">
        <f t="shared" si="1"/>
        <v>1000</v>
      </c>
      <c r="AU14" s="447">
        <v>200</v>
      </c>
      <c r="AV14" s="145"/>
      <c r="AW14" s="145"/>
      <c r="AX14" s="145"/>
      <c r="AY14" s="145"/>
      <c r="AZ14" s="145">
        <v>200</v>
      </c>
      <c r="BA14" s="145">
        <v>300</v>
      </c>
      <c r="BB14" s="145">
        <v>300</v>
      </c>
      <c r="BC14" s="145">
        <f t="shared" si="2"/>
        <v>2350179</v>
      </c>
      <c r="BD14" s="140">
        <f t="shared" si="6"/>
        <v>0.0143</v>
      </c>
      <c r="BE14" s="145"/>
      <c r="BF14" s="145"/>
      <c r="BG14" s="145"/>
      <c r="BH14" s="145">
        <v>1200179</v>
      </c>
      <c r="BI14" s="145"/>
      <c r="BJ14" s="145">
        <v>1150000</v>
      </c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385"/>
      <c r="CJ14" s="385" t="s">
        <v>260</v>
      </c>
      <c r="CK14" s="385" t="s">
        <v>271</v>
      </c>
      <c r="CM14" s="385" t="s">
        <v>261</v>
      </c>
    </row>
    <row r="15" s="385" customFormat="1" ht="40" customHeight="1" spans="1:93">
      <c r="A15" s="385">
        <v>12</v>
      </c>
      <c r="C15" s="471">
        <v>45201</v>
      </c>
      <c r="D15" s="385">
        <v>20230008510</v>
      </c>
      <c r="F15" s="456" t="s">
        <v>350</v>
      </c>
      <c r="G15" s="142" t="s">
        <v>351</v>
      </c>
      <c r="I15" s="456" t="s">
        <v>254</v>
      </c>
      <c r="J15" s="456">
        <v>12</v>
      </c>
      <c r="K15" s="385">
        <v>146.3</v>
      </c>
      <c r="L15" s="385">
        <v>146.3</v>
      </c>
      <c r="M15" s="385">
        <v>26000</v>
      </c>
      <c r="N15" s="469">
        <v>3803800</v>
      </c>
      <c r="O15" s="145">
        <v>25800</v>
      </c>
      <c r="Q15" s="385">
        <v>3489724.77</v>
      </c>
      <c r="R15" s="1026" t="s">
        <v>352</v>
      </c>
      <c r="S15" s="471">
        <v>45674</v>
      </c>
      <c r="T15" s="145"/>
      <c r="U15" s="440"/>
      <c r="V15" s="440" t="s">
        <v>353</v>
      </c>
      <c r="W15" s="440" t="s">
        <v>354</v>
      </c>
      <c r="X15" s="145">
        <v>100000</v>
      </c>
      <c r="Y15" s="442" t="s">
        <v>342</v>
      </c>
      <c r="Z15" s="145">
        <f>5000+5000+5000+5000</f>
        <v>20000</v>
      </c>
      <c r="AA15" s="440">
        <v>44751</v>
      </c>
      <c r="AB15" s="145">
        <v>633800</v>
      </c>
      <c r="AC15" s="440" t="s">
        <v>314</v>
      </c>
      <c r="AD15" s="145">
        <v>1150000</v>
      </c>
      <c r="AE15" s="440" t="s">
        <v>355</v>
      </c>
      <c r="AF15" s="145">
        <v>500000</v>
      </c>
      <c r="AG15" s="440" t="s">
        <v>356</v>
      </c>
      <c r="AH15" s="145">
        <v>200000</v>
      </c>
      <c r="AI15" s="440" t="s">
        <v>357</v>
      </c>
      <c r="AJ15" s="145">
        <v>1200000</v>
      </c>
      <c r="AK15" s="440" t="s">
        <v>358</v>
      </c>
      <c r="AL15" s="145">
        <f t="shared" si="3"/>
        <v>3803800</v>
      </c>
      <c r="AO15" s="446">
        <f t="shared" si="4"/>
        <v>0</v>
      </c>
      <c r="AP15" s="385">
        <v>17609961888</v>
      </c>
      <c r="AT15" s="447">
        <f t="shared" si="1"/>
        <v>1100</v>
      </c>
      <c r="AU15" s="447">
        <f>200</f>
        <v>200</v>
      </c>
      <c r="AV15" s="145">
        <f>200+200</f>
        <v>400</v>
      </c>
      <c r="AW15" s="145">
        <v>200</v>
      </c>
      <c r="AX15" s="145"/>
      <c r="AY15" s="145"/>
      <c r="AZ15" s="145"/>
      <c r="BA15" s="145"/>
      <c r="BB15" s="145">
        <v>300</v>
      </c>
      <c r="BC15" s="145">
        <f t="shared" si="2"/>
        <v>3803800</v>
      </c>
      <c r="BD15" s="140">
        <f t="shared" si="6"/>
        <v>0.0143</v>
      </c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>
        <v>3803800</v>
      </c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385"/>
      <c r="CJ15" s="385" t="s">
        <v>260</v>
      </c>
      <c r="CK15" s="385" t="s">
        <v>271</v>
      </c>
      <c r="CM15" s="385" t="s">
        <v>261</v>
      </c>
    </row>
    <row r="16" s="385" customFormat="1" customHeight="1" spans="1:93">
      <c r="A16" s="385">
        <v>13</v>
      </c>
      <c r="C16" s="471">
        <v>45354</v>
      </c>
      <c r="D16" s="385">
        <v>2024000115</v>
      </c>
      <c r="F16" s="456" t="s">
        <v>359</v>
      </c>
      <c r="G16" s="142" t="s">
        <v>360</v>
      </c>
      <c r="I16" s="456" t="s">
        <v>361</v>
      </c>
      <c r="J16" s="456" t="s">
        <v>255</v>
      </c>
      <c r="K16" s="385">
        <v>85.66</v>
      </c>
      <c r="L16" s="385">
        <v>85.66</v>
      </c>
      <c r="M16" s="385">
        <v>9777</v>
      </c>
      <c r="N16" s="469">
        <v>837500</v>
      </c>
      <c r="O16" s="145">
        <v>9538.71</v>
      </c>
      <c r="Q16" s="385">
        <v>768348.62</v>
      </c>
      <c r="R16" s="1026" t="s">
        <v>362</v>
      </c>
      <c r="S16" s="471">
        <v>45716</v>
      </c>
      <c r="T16" s="145"/>
      <c r="V16" s="142"/>
      <c r="W16" s="142" t="s">
        <v>284</v>
      </c>
      <c r="X16" s="145">
        <v>35000</v>
      </c>
      <c r="Y16" s="385" t="s">
        <v>363</v>
      </c>
      <c r="Z16" s="385">
        <v>802500</v>
      </c>
      <c r="AA16" s="442" t="s">
        <v>363</v>
      </c>
      <c r="AC16" s="442"/>
      <c r="AL16" s="145">
        <f t="shared" si="3"/>
        <v>837500</v>
      </c>
      <c r="AO16" s="446">
        <f t="shared" si="4"/>
        <v>0</v>
      </c>
      <c r="AP16" s="385">
        <v>13031235925</v>
      </c>
      <c r="AT16" s="447">
        <f t="shared" si="1"/>
        <v>200</v>
      </c>
      <c r="AU16" s="447"/>
      <c r="AV16" s="145"/>
      <c r="AW16" s="145"/>
      <c r="AX16" s="145"/>
      <c r="AY16" s="145">
        <v>200</v>
      </c>
      <c r="AZ16" s="145"/>
      <c r="BA16" s="145"/>
      <c r="BB16" s="145"/>
      <c r="BC16" s="145">
        <f t="shared" si="2"/>
        <v>837500</v>
      </c>
      <c r="BD16" s="540">
        <f t="shared" si="5"/>
        <v>0.0143</v>
      </c>
      <c r="BE16" s="145"/>
      <c r="BF16" s="145"/>
      <c r="BG16" s="145"/>
      <c r="BH16" s="145"/>
      <c r="BI16" s="145"/>
      <c r="BJ16" s="145"/>
      <c r="BK16" s="145"/>
      <c r="BL16" s="145"/>
      <c r="BM16" s="145">
        <v>837500</v>
      </c>
      <c r="BN16" s="145"/>
      <c r="BO16" s="145"/>
      <c r="BP16" s="145"/>
      <c r="BQ16" s="145"/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385"/>
      <c r="CJ16" s="385" t="s">
        <v>260</v>
      </c>
      <c r="CK16" s="385" t="s">
        <v>271</v>
      </c>
      <c r="CM16" s="385" t="s">
        <v>261</v>
      </c>
    </row>
    <row r="17" s="385" customFormat="1" customHeight="1" spans="1:99">
      <c r="A17" s="385">
        <v>14</v>
      </c>
      <c r="C17" s="471">
        <v>45354</v>
      </c>
      <c r="D17" s="385">
        <v>2024000116</v>
      </c>
      <c r="F17" s="456" t="s">
        <v>359</v>
      </c>
      <c r="G17" s="142" t="s">
        <v>360</v>
      </c>
      <c r="I17" s="456" t="s">
        <v>361</v>
      </c>
      <c r="J17" s="456" t="s">
        <v>265</v>
      </c>
      <c r="K17" s="385">
        <v>85.66</v>
      </c>
      <c r="L17" s="385">
        <v>85.66</v>
      </c>
      <c r="M17" s="385">
        <v>9777</v>
      </c>
      <c r="N17" s="469">
        <v>837500</v>
      </c>
      <c r="O17" s="145">
        <v>9612.99</v>
      </c>
      <c r="Q17" s="385">
        <v>768348.62</v>
      </c>
      <c r="R17" s="1026" t="s">
        <v>364</v>
      </c>
      <c r="S17" s="471">
        <v>45716</v>
      </c>
      <c r="T17" s="145"/>
      <c r="V17" s="142"/>
      <c r="W17" s="142" t="s">
        <v>284</v>
      </c>
      <c r="X17" s="145">
        <v>40000</v>
      </c>
      <c r="Y17" s="385" t="s">
        <v>363</v>
      </c>
      <c r="Z17" s="385">
        <v>797500</v>
      </c>
      <c r="AA17" s="442" t="s">
        <v>365</v>
      </c>
      <c r="AC17" s="442"/>
      <c r="AL17" s="145">
        <f t="shared" si="3"/>
        <v>837500</v>
      </c>
      <c r="AO17" s="446">
        <f t="shared" si="4"/>
        <v>0</v>
      </c>
      <c r="AP17" s="385">
        <v>13031235925</v>
      </c>
      <c r="AT17" s="447">
        <f t="shared" si="1"/>
        <v>200</v>
      </c>
      <c r="AU17" s="447"/>
      <c r="AV17" s="145"/>
      <c r="AW17" s="145"/>
      <c r="AX17" s="145"/>
      <c r="AY17" s="145">
        <v>200</v>
      </c>
      <c r="AZ17" s="145"/>
      <c r="BA17" s="145"/>
      <c r="BB17" s="145"/>
      <c r="BC17" s="145">
        <f t="shared" si="2"/>
        <v>837500</v>
      </c>
      <c r="BD17" s="540">
        <f t="shared" si="5"/>
        <v>0.0143</v>
      </c>
      <c r="BE17" s="145"/>
      <c r="BF17" s="145"/>
      <c r="BG17" s="145"/>
      <c r="BH17" s="145"/>
      <c r="BI17" s="145"/>
      <c r="BJ17" s="145"/>
      <c r="BK17" s="145"/>
      <c r="BL17" s="145"/>
      <c r="BM17" s="145">
        <v>837500</v>
      </c>
      <c r="BN17" s="145"/>
      <c r="BO17" s="145"/>
      <c r="BP17" s="145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385"/>
      <c r="CJ17" s="385" t="s">
        <v>260</v>
      </c>
      <c r="CK17" s="385" t="s">
        <v>271</v>
      </c>
      <c r="CM17" s="385" t="s">
        <v>261</v>
      </c>
    </row>
    <row r="18" s="385" customFormat="1" customHeight="1" spans="1:99">
      <c r="A18" s="385">
        <v>15</v>
      </c>
      <c r="B18" s="385"/>
      <c r="C18" s="471">
        <v>45670</v>
      </c>
      <c r="D18" s="385">
        <v>20250000214</v>
      </c>
      <c r="E18" s="1026" t="s">
        <v>366</v>
      </c>
      <c r="F18" s="456" t="s">
        <v>367</v>
      </c>
      <c r="G18" s="385" t="s">
        <v>368</v>
      </c>
      <c r="I18" s="456" t="s">
        <v>361</v>
      </c>
      <c r="J18" s="456" t="s">
        <v>275</v>
      </c>
      <c r="K18" s="385">
        <v>140.95</v>
      </c>
      <c r="L18" s="385">
        <v>140.95</v>
      </c>
      <c r="M18" s="385">
        <v>9252.7</v>
      </c>
      <c r="N18" s="469">
        <v>1260000</v>
      </c>
      <c r="O18" s="145">
        <v>8790.78</v>
      </c>
      <c r="Q18" s="385">
        <v>1155963.3</v>
      </c>
      <c r="R18" s="1026" t="s">
        <v>369</v>
      </c>
      <c r="S18" s="471">
        <v>45671</v>
      </c>
      <c r="T18" s="145"/>
      <c r="U18" s="385"/>
      <c r="W18" s="385" t="s">
        <v>370</v>
      </c>
      <c r="X18" s="145">
        <v>50000</v>
      </c>
      <c r="Y18" s="385" t="s">
        <v>371</v>
      </c>
      <c r="Z18" s="145">
        <v>610000</v>
      </c>
      <c r="AA18" s="385" t="s">
        <v>372</v>
      </c>
      <c r="AB18" s="145">
        <v>600000</v>
      </c>
      <c r="AC18" s="385" t="s">
        <v>373</v>
      </c>
      <c r="AL18" s="145">
        <f t="shared" si="3"/>
        <v>1260000</v>
      </c>
      <c r="AO18" s="446">
        <f t="shared" si="4"/>
        <v>0</v>
      </c>
      <c r="AP18" s="385">
        <v>18083992128</v>
      </c>
      <c r="AT18" s="447">
        <f t="shared" si="1"/>
        <v>0</v>
      </c>
      <c r="AU18" s="142"/>
      <c r="BC18" s="145">
        <f t="shared" si="2"/>
        <v>1260000</v>
      </c>
      <c r="BD18" s="140">
        <f>1%+0.18%+0.2%+0.03%</f>
        <v>0.0141</v>
      </c>
      <c r="BW18" s="385">
        <v>660000</v>
      </c>
      <c r="BX18" s="385">
        <v>600000</v>
      </c>
      <c r="CJ18" s="385" t="s">
        <v>260</v>
      </c>
      <c r="CM18" s="385" t="s">
        <v>261</v>
      </c>
    </row>
    <row r="19" s="385" customFormat="1" customHeight="1" spans="1:99">
      <c r="A19" s="385">
        <v>16</v>
      </c>
      <c r="B19" s="385"/>
      <c r="C19" s="471">
        <v>45670</v>
      </c>
      <c r="D19" s="385">
        <v>20250000211</v>
      </c>
      <c r="E19" s="1026" t="s">
        <v>374</v>
      </c>
      <c r="F19" s="456" t="s">
        <v>367</v>
      </c>
      <c r="G19" s="385" t="s">
        <v>368</v>
      </c>
      <c r="I19" s="456" t="s">
        <v>361</v>
      </c>
      <c r="J19" s="456" t="s">
        <v>282</v>
      </c>
      <c r="K19" s="385">
        <v>85.66</v>
      </c>
      <c r="L19" s="385">
        <v>85.66</v>
      </c>
      <c r="M19" s="385">
        <v>10224.52</v>
      </c>
      <c r="N19" s="469">
        <v>850000</v>
      </c>
      <c r="O19" s="145">
        <v>9762.52</v>
      </c>
      <c r="Q19" s="385">
        <v>779816.51</v>
      </c>
      <c r="R19" s="1026" t="s">
        <v>375</v>
      </c>
      <c r="S19" s="471">
        <v>45671</v>
      </c>
      <c r="T19" s="145"/>
      <c r="U19" s="385"/>
      <c r="W19" s="385" t="s">
        <v>370</v>
      </c>
      <c r="X19" s="145">
        <v>50000</v>
      </c>
      <c r="Y19" s="385" t="s">
        <v>371</v>
      </c>
      <c r="Z19" s="145">
        <v>410000</v>
      </c>
      <c r="AA19" s="385" t="s">
        <v>372</v>
      </c>
      <c r="AB19" s="145">
        <v>390000</v>
      </c>
      <c r="AC19" s="385" t="s">
        <v>373</v>
      </c>
      <c r="AL19" s="145">
        <f t="shared" si="3"/>
        <v>850000</v>
      </c>
      <c r="AO19" s="446">
        <f t="shared" si="4"/>
        <v>0</v>
      </c>
      <c r="AP19" s="385">
        <v>18083992128</v>
      </c>
      <c r="AT19" s="447">
        <f t="shared" si="1"/>
        <v>0</v>
      </c>
      <c r="AU19" s="142"/>
      <c r="BC19" s="145">
        <f t="shared" si="2"/>
        <v>850000</v>
      </c>
      <c r="BD19" s="140">
        <f>1%+0.18%+0.2%+0.03%</f>
        <v>0.0141</v>
      </c>
      <c r="BW19" s="385">
        <v>460000</v>
      </c>
      <c r="BX19" s="385">
        <v>390000</v>
      </c>
      <c r="CJ19" s="385" t="s">
        <v>260</v>
      </c>
      <c r="CM19" s="385" t="s">
        <v>261</v>
      </c>
    </row>
    <row r="20" s="385" customFormat="1" customHeight="1" spans="1:99">
      <c r="A20" s="385">
        <v>17</v>
      </c>
      <c r="B20" s="385"/>
      <c r="C20" s="471">
        <v>45600</v>
      </c>
      <c r="D20" s="385">
        <v>20240006442</v>
      </c>
      <c r="E20" s="1026" t="s">
        <v>376</v>
      </c>
      <c r="F20" s="1026" t="s">
        <v>377</v>
      </c>
      <c r="G20" s="385" t="s">
        <v>378</v>
      </c>
      <c r="I20" s="456" t="s">
        <v>361</v>
      </c>
      <c r="J20" s="456" t="s">
        <v>292</v>
      </c>
      <c r="K20" s="385">
        <v>85.66</v>
      </c>
      <c r="L20" s="385">
        <v>85.66</v>
      </c>
      <c r="M20" s="385">
        <v>9600</v>
      </c>
      <c r="N20" s="469">
        <v>822336</v>
      </c>
      <c r="O20" s="145">
        <v>9600</v>
      </c>
      <c r="P20" s="385"/>
      <c r="Q20" s="385">
        <v>754436.7</v>
      </c>
      <c r="R20" s="1026" t="s">
        <v>379</v>
      </c>
      <c r="S20" s="471">
        <v>45716</v>
      </c>
      <c r="T20" s="145"/>
      <c r="U20" s="385"/>
      <c r="W20" s="385" t="s">
        <v>380</v>
      </c>
      <c r="X20" s="145">
        <v>10000</v>
      </c>
      <c r="Y20" s="385" t="s">
        <v>381</v>
      </c>
      <c r="Z20" s="145">
        <v>402336</v>
      </c>
      <c r="AA20" s="385" t="s">
        <v>259</v>
      </c>
      <c r="AB20" s="385">
        <v>410000</v>
      </c>
      <c r="AC20" s="442" t="s">
        <v>382</v>
      </c>
      <c r="AL20" s="145">
        <f t="shared" si="3"/>
        <v>822336</v>
      </c>
      <c r="AO20" s="446">
        <f t="shared" si="4"/>
        <v>0</v>
      </c>
      <c r="AP20" s="385">
        <v>18799857500</v>
      </c>
      <c r="AT20" s="447">
        <f t="shared" si="1"/>
        <v>0</v>
      </c>
      <c r="AU20" s="142"/>
      <c r="BC20" s="145">
        <f t="shared" si="2"/>
        <v>822336</v>
      </c>
      <c r="BD20" s="140">
        <f>1%+0.15%+0.2%+0.03%</f>
        <v>0.0138</v>
      </c>
      <c r="BU20" s="385">
        <v>822336</v>
      </c>
      <c r="CJ20" s="385" t="s">
        <v>260</v>
      </c>
      <c r="CM20" s="385" t="s">
        <v>261</v>
      </c>
    </row>
    <row r="21" s="385" customFormat="1" customHeight="1" spans="1:99">
      <c r="A21" s="385">
        <v>18</v>
      </c>
      <c r="B21" s="385"/>
      <c r="C21" s="471">
        <v>45601</v>
      </c>
      <c r="D21" s="385">
        <v>20240006451</v>
      </c>
      <c r="E21" s="1026" t="s">
        <v>383</v>
      </c>
      <c r="F21" s="1026" t="s">
        <v>377</v>
      </c>
      <c r="G21" s="385" t="s">
        <v>378</v>
      </c>
      <c r="I21" s="456" t="s">
        <v>361</v>
      </c>
      <c r="J21" s="456" t="s">
        <v>301</v>
      </c>
      <c r="K21" s="385">
        <v>85.66</v>
      </c>
      <c r="L21" s="385">
        <v>85.66</v>
      </c>
      <c r="M21" s="385">
        <v>9600</v>
      </c>
      <c r="N21" s="469">
        <v>822336</v>
      </c>
      <c r="O21" s="145">
        <v>9600</v>
      </c>
      <c r="P21" s="385"/>
      <c r="Q21" s="385">
        <v>754436.7</v>
      </c>
      <c r="R21" s="1026" t="s">
        <v>384</v>
      </c>
      <c r="S21" s="471">
        <v>45716</v>
      </c>
      <c r="T21" s="145"/>
      <c r="U21" s="385"/>
      <c r="W21" s="385" t="s">
        <v>380</v>
      </c>
      <c r="X21" s="145">
        <v>10000</v>
      </c>
      <c r="Y21" s="385" t="s">
        <v>381</v>
      </c>
      <c r="Z21" s="145">
        <v>402336</v>
      </c>
      <c r="AA21" s="385" t="s">
        <v>385</v>
      </c>
      <c r="AB21" s="385">
        <v>410000</v>
      </c>
      <c r="AC21" s="442" t="s">
        <v>382</v>
      </c>
      <c r="AL21" s="145">
        <f t="shared" si="3"/>
        <v>822336</v>
      </c>
      <c r="AO21" s="446">
        <f t="shared" si="4"/>
        <v>0</v>
      </c>
      <c r="AP21" s="385">
        <v>18799857500</v>
      </c>
      <c r="AQ21" s="385" t="s">
        <v>386</v>
      </c>
      <c r="AT21" s="447">
        <f t="shared" si="1"/>
        <v>0</v>
      </c>
      <c r="AU21" s="142"/>
      <c r="BC21" s="145">
        <f t="shared" si="2"/>
        <v>822336</v>
      </c>
      <c r="BD21" s="140">
        <f>1%+0.15%+0.2%+0.03%</f>
        <v>0.0138</v>
      </c>
      <c r="BU21" s="385">
        <v>822336</v>
      </c>
      <c r="CJ21" s="385" t="s">
        <v>260</v>
      </c>
      <c r="CM21" s="385" t="s">
        <v>261</v>
      </c>
    </row>
    <row r="22" s="385" customFormat="1" customHeight="1" spans="1:99">
      <c r="A22" s="385">
        <v>19</v>
      </c>
      <c r="B22" s="385"/>
      <c r="C22" s="471">
        <v>45644</v>
      </c>
      <c r="D22" s="385">
        <v>20240007311</v>
      </c>
      <c r="E22" s="1026" t="s">
        <v>387</v>
      </c>
      <c r="F22" s="456" t="s">
        <v>388</v>
      </c>
      <c r="G22" s="385" t="s">
        <v>389</v>
      </c>
      <c r="I22" s="456" t="s">
        <v>361</v>
      </c>
      <c r="J22" s="456" t="s">
        <v>310</v>
      </c>
      <c r="K22" s="385">
        <v>85.66</v>
      </c>
      <c r="L22" s="385">
        <v>85.66</v>
      </c>
      <c r="M22" s="385">
        <v>10273.17</v>
      </c>
      <c r="N22" s="469">
        <v>880000</v>
      </c>
      <c r="O22" s="145">
        <v>9986.8</v>
      </c>
      <c r="Q22" s="385">
        <v>807339.45</v>
      </c>
      <c r="R22" s="1026" t="s">
        <v>390</v>
      </c>
      <c r="S22" s="471">
        <v>45726</v>
      </c>
      <c r="T22" s="145"/>
      <c r="U22" s="385"/>
      <c r="W22" s="385" t="s">
        <v>370</v>
      </c>
      <c r="X22" s="145">
        <v>50000</v>
      </c>
      <c r="Y22" s="385" t="s">
        <v>391</v>
      </c>
      <c r="Z22" s="385">
        <v>700000</v>
      </c>
      <c r="AA22" s="442" t="s">
        <v>392</v>
      </c>
      <c r="AB22" s="385">
        <v>70000</v>
      </c>
      <c r="AC22" s="442" t="s">
        <v>393</v>
      </c>
      <c r="AD22" s="385">
        <v>60000</v>
      </c>
      <c r="AE22" s="385" t="s">
        <v>394</v>
      </c>
      <c r="AL22" s="145">
        <f t="shared" si="3"/>
        <v>880000</v>
      </c>
      <c r="AO22" s="446">
        <f t="shared" si="4"/>
        <v>0</v>
      </c>
      <c r="AP22" s="385">
        <v>13699339119</v>
      </c>
      <c r="AQ22" s="385" t="s">
        <v>386</v>
      </c>
      <c r="AT22" s="447">
        <f t="shared" si="1"/>
        <v>0</v>
      </c>
      <c r="AU22" s="142"/>
      <c r="BC22" s="145">
        <f t="shared" si="2"/>
        <v>880000</v>
      </c>
      <c r="BD22" s="140">
        <f>1%+0.13%+0.25%+0.03%</f>
        <v>0.0141</v>
      </c>
      <c r="BW22" s="385">
        <v>880000</v>
      </c>
      <c r="CJ22" s="385" t="s">
        <v>260</v>
      </c>
      <c r="CM22" s="385" t="s">
        <v>261</v>
      </c>
    </row>
    <row r="23" s="385" customFormat="1" customHeight="1" spans="1:99">
      <c r="A23" s="385">
        <v>20</v>
      </c>
      <c r="B23" s="385"/>
      <c r="C23" s="471">
        <v>45575</v>
      </c>
      <c r="D23" s="385">
        <v>20240006011</v>
      </c>
      <c r="E23" s="1026" t="s">
        <v>395</v>
      </c>
      <c r="F23" s="456" t="s">
        <v>396</v>
      </c>
      <c r="G23" s="385" t="s">
        <v>397</v>
      </c>
      <c r="I23" s="456" t="s">
        <v>361</v>
      </c>
      <c r="J23" s="456" t="s">
        <v>319</v>
      </c>
      <c r="K23" s="385">
        <v>85.66</v>
      </c>
      <c r="L23" s="385">
        <v>85.66</v>
      </c>
      <c r="M23" s="385">
        <v>9922.95</v>
      </c>
      <c r="N23" s="469">
        <v>850000</v>
      </c>
      <c r="O23" s="145">
        <v>10061.56</v>
      </c>
      <c r="P23" s="385"/>
      <c r="Q23" s="385">
        <v>779816.51</v>
      </c>
      <c r="R23" s="1026" t="s">
        <v>398</v>
      </c>
      <c r="S23" s="471">
        <v>45716</v>
      </c>
      <c r="T23" s="145"/>
      <c r="U23" s="385"/>
      <c r="W23" s="385" t="s">
        <v>294</v>
      </c>
      <c r="X23" s="145">
        <f>25000</f>
        <v>25000</v>
      </c>
      <c r="Y23" s="385" t="s">
        <v>399</v>
      </c>
      <c r="Z23" s="145">
        <v>45000</v>
      </c>
      <c r="AA23" s="385" t="s">
        <v>400</v>
      </c>
      <c r="AB23" s="385">
        <v>435000</v>
      </c>
      <c r="AC23" s="442" t="s">
        <v>371</v>
      </c>
      <c r="AD23" s="385">
        <v>345000</v>
      </c>
      <c r="AE23" s="385" t="s">
        <v>401</v>
      </c>
      <c r="AL23" s="145">
        <f t="shared" si="3"/>
        <v>850000</v>
      </c>
      <c r="AO23" s="446">
        <f t="shared" si="4"/>
        <v>0</v>
      </c>
      <c r="AP23" s="385">
        <v>18106415251</v>
      </c>
      <c r="AT23" s="447">
        <f t="shared" si="1"/>
        <v>0</v>
      </c>
      <c r="AU23" s="142"/>
      <c r="BC23" s="145">
        <f t="shared" si="2"/>
        <v>850000</v>
      </c>
      <c r="BD23" s="140">
        <f>1%+0.2%</f>
        <v>0.012</v>
      </c>
      <c r="BU23" s="385">
        <v>850000</v>
      </c>
      <c r="CJ23" s="385" t="s">
        <v>260</v>
      </c>
      <c r="CM23" s="385" t="s">
        <v>261</v>
      </c>
    </row>
    <row r="24" s="385" customFormat="1" customHeight="1" spans="1:99">
      <c r="A24" s="385">
        <v>21</v>
      </c>
      <c r="B24" s="385"/>
      <c r="C24" s="471">
        <v>45570</v>
      </c>
      <c r="D24" s="385">
        <v>20240005853</v>
      </c>
      <c r="E24" s="1026" t="s">
        <v>402</v>
      </c>
      <c r="F24" s="456" t="s">
        <v>396</v>
      </c>
      <c r="G24" s="385" t="s">
        <v>397</v>
      </c>
      <c r="I24" s="456" t="s">
        <v>361</v>
      </c>
      <c r="J24" s="456" t="s">
        <v>403</v>
      </c>
      <c r="K24" s="385">
        <v>85.66</v>
      </c>
      <c r="L24" s="385">
        <v>85.66</v>
      </c>
      <c r="M24" s="385">
        <v>9922.95</v>
      </c>
      <c r="N24" s="469">
        <v>850000</v>
      </c>
      <c r="O24" s="145">
        <v>10086</v>
      </c>
      <c r="P24" s="385"/>
      <c r="Q24" s="385">
        <v>779816.51</v>
      </c>
      <c r="R24" s="1026" t="s">
        <v>404</v>
      </c>
      <c r="S24" s="471">
        <v>45582</v>
      </c>
      <c r="T24" s="145"/>
      <c r="U24" s="385"/>
      <c r="W24" s="385" t="s">
        <v>294</v>
      </c>
      <c r="X24" s="145">
        <f>25000+50000</f>
        <v>75000</v>
      </c>
      <c r="Y24" s="385" t="s">
        <v>399</v>
      </c>
      <c r="Z24" s="145">
        <v>225000</v>
      </c>
      <c r="AA24" s="385" t="s">
        <v>258</v>
      </c>
      <c r="AB24" s="385">
        <v>125000</v>
      </c>
      <c r="AC24" s="442" t="s">
        <v>400</v>
      </c>
      <c r="AD24" s="385">
        <v>425000</v>
      </c>
      <c r="AE24" s="385" t="s">
        <v>401</v>
      </c>
      <c r="AL24" s="145">
        <f t="shared" si="3"/>
        <v>850000</v>
      </c>
      <c r="AO24" s="446">
        <f t="shared" si="4"/>
        <v>0</v>
      </c>
      <c r="AP24" s="385">
        <v>18106415251</v>
      </c>
      <c r="AT24" s="447">
        <f t="shared" si="1"/>
        <v>0</v>
      </c>
      <c r="AU24" s="142"/>
      <c r="BC24" s="145">
        <f t="shared" si="2"/>
        <v>850000</v>
      </c>
      <c r="BD24" s="140">
        <f>1%+0.2%</f>
        <v>0.012</v>
      </c>
      <c r="BU24" s="385">
        <v>850000</v>
      </c>
      <c r="CJ24" s="385" t="s">
        <v>260</v>
      </c>
      <c r="CM24" s="385" t="s">
        <v>261</v>
      </c>
    </row>
    <row r="25" s="385" customFormat="1" customHeight="1" spans="1:99">
      <c r="A25" s="385">
        <v>22</v>
      </c>
      <c r="B25" s="385"/>
      <c r="C25" s="471">
        <v>45710</v>
      </c>
      <c r="D25" s="385">
        <v>20250000784</v>
      </c>
      <c r="F25" s="456" t="s">
        <v>405</v>
      </c>
      <c r="G25" s="142" t="s">
        <v>406</v>
      </c>
      <c r="I25" s="456" t="s">
        <v>361</v>
      </c>
      <c r="J25" s="456">
        <v>10</v>
      </c>
      <c r="K25" s="385">
        <v>85.66</v>
      </c>
      <c r="L25" s="385">
        <v>85.66</v>
      </c>
      <c r="M25" s="385">
        <v>9800</v>
      </c>
      <c r="N25" s="469">
        <v>839468</v>
      </c>
      <c r="O25" s="145">
        <v>10116</v>
      </c>
      <c r="P25" s="385"/>
      <c r="Q25" s="385">
        <v>770154.13</v>
      </c>
      <c r="R25" s="1026" t="s">
        <v>407</v>
      </c>
      <c r="S25" s="471">
        <v>45726</v>
      </c>
      <c r="T25" s="145"/>
      <c r="U25" s="385"/>
      <c r="W25" s="142" t="s">
        <v>408</v>
      </c>
      <c r="X25" s="145"/>
      <c r="Y25" s="385"/>
      <c r="Z25" s="145">
        <v>10000</v>
      </c>
      <c r="AA25" s="442" t="s">
        <v>409</v>
      </c>
      <c r="AB25" s="145">
        <f>114468+715000</f>
        <v>829468</v>
      </c>
      <c r="AC25" s="385" t="s">
        <v>410</v>
      </c>
      <c r="AL25" s="145">
        <f t="shared" si="3"/>
        <v>839468</v>
      </c>
      <c r="AO25" s="446">
        <f t="shared" si="4"/>
        <v>0</v>
      </c>
      <c r="AP25" s="385">
        <v>18699663603</v>
      </c>
      <c r="AQ25" s="385" t="s">
        <v>386</v>
      </c>
      <c r="AT25" s="447">
        <f t="shared" si="1"/>
        <v>0</v>
      </c>
      <c r="AU25" s="142"/>
      <c r="BC25" s="145">
        <f t="shared" si="2"/>
        <v>839468</v>
      </c>
      <c r="BD25" s="140">
        <f>0.8%+0.18%+0.25%+0.03%</f>
        <v>0.0126</v>
      </c>
      <c r="BX25" s="385">
        <v>839468</v>
      </c>
      <c r="CJ25" s="385" t="s">
        <v>260</v>
      </c>
      <c r="CM25" s="385" t="s">
        <v>261</v>
      </c>
    </row>
    <row r="26" s="204" customFormat="1" customHeight="1" spans="1:99">
      <c r="A26" s="204">
        <v>23</v>
      </c>
      <c r="C26" s="435"/>
      <c r="F26" s="479"/>
      <c r="I26" s="479" t="s">
        <v>361</v>
      </c>
      <c r="J26" s="479">
        <v>11</v>
      </c>
      <c r="K26" s="204">
        <v>306.78</v>
      </c>
      <c r="N26" s="519"/>
      <c r="O26" s="431">
        <v>9957</v>
      </c>
      <c r="T26" s="431"/>
      <c r="X26" s="431"/>
      <c r="Z26" s="431"/>
      <c r="AA26" s="436"/>
      <c r="AC26" s="436"/>
      <c r="AL26" s="431">
        <f t="shared" si="3"/>
        <v>0</v>
      </c>
      <c r="AO26" s="578"/>
      <c r="AT26" s="438">
        <f t="shared" si="1"/>
        <v>0</v>
      </c>
      <c r="AU26" s="429"/>
      <c r="BC26" s="431">
        <f t="shared" si="2"/>
        <v>0</v>
      </c>
      <c r="CR26" s="385"/>
      <c r="CU26" s="385"/>
    </row>
    <row r="27" s="204" customFormat="1" customHeight="1" spans="1:99">
      <c r="A27" s="204">
        <v>24</v>
      </c>
      <c r="C27" s="435"/>
      <c r="F27" s="479"/>
      <c r="H27" s="125" t="s">
        <v>411</v>
      </c>
      <c r="I27" s="479" t="s">
        <v>412</v>
      </c>
      <c r="J27" s="479" t="s">
        <v>413</v>
      </c>
      <c r="K27" s="593">
        <v>976.47</v>
      </c>
      <c r="N27" s="519"/>
      <c r="O27" s="431">
        <v>4550</v>
      </c>
      <c r="T27" s="431"/>
      <c r="X27" s="431"/>
      <c r="Z27" s="431"/>
      <c r="AA27" s="436"/>
      <c r="AC27" s="436"/>
      <c r="AL27" s="431"/>
      <c r="AO27" s="578"/>
      <c r="AT27" s="438"/>
      <c r="AU27" s="429"/>
      <c r="BC27" s="431"/>
      <c r="CR27" s="385"/>
      <c r="CU27" s="385"/>
    </row>
    <row r="28" s="204" customFormat="1" customHeight="1" spans="1:99">
      <c r="C28" s="435"/>
      <c r="F28" s="479"/>
      <c r="G28" s="204" t="s">
        <v>414</v>
      </c>
      <c r="H28" s="125"/>
      <c r="I28" s="479" t="s">
        <v>412</v>
      </c>
      <c r="J28" s="479" t="s">
        <v>415</v>
      </c>
      <c r="K28" s="593">
        <v>524.4</v>
      </c>
      <c r="M28" s="244" t="s">
        <v>416</v>
      </c>
      <c r="N28" s="519"/>
      <c r="O28" s="431"/>
      <c r="T28" s="431"/>
      <c r="X28" s="431"/>
      <c r="Z28" s="431"/>
      <c r="AA28" s="436"/>
      <c r="AC28" s="436"/>
      <c r="AL28" s="431"/>
      <c r="AO28" s="578"/>
      <c r="AT28" s="438"/>
      <c r="AU28" s="429"/>
      <c r="BC28" s="431"/>
      <c r="CR28" s="385"/>
      <c r="CU28" s="385"/>
    </row>
    <row r="29" s="204" customFormat="1" customHeight="1" spans="1:99">
      <c r="C29" s="435"/>
      <c r="F29" s="479"/>
      <c r="G29" s="204" t="s">
        <v>417</v>
      </c>
      <c r="H29" s="125"/>
      <c r="I29" s="479" t="s">
        <v>412</v>
      </c>
      <c r="J29" s="479" t="s">
        <v>418</v>
      </c>
      <c r="K29" s="593">
        <v>152.79</v>
      </c>
      <c r="M29" s="244"/>
      <c r="N29" s="519"/>
      <c r="O29" s="431"/>
      <c r="T29" s="431"/>
      <c r="X29" s="431"/>
      <c r="Z29" s="431"/>
      <c r="AA29" s="436"/>
      <c r="AC29" s="436"/>
      <c r="AL29" s="431"/>
      <c r="AO29" s="578"/>
      <c r="AT29" s="438"/>
      <c r="AU29" s="429"/>
      <c r="BC29" s="431"/>
      <c r="CR29" s="385"/>
      <c r="CU29" s="385"/>
    </row>
    <row r="30" s="204" customFormat="1" customHeight="1" spans="1:99">
      <c r="C30" s="435"/>
      <c r="F30" s="479"/>
      <c r="G30" s="204" t="s">
        <v>419</v>
      </c>
      <c r="H30" s="125"/>
      <c r="I30" s="479" t="s">
        <v>412</v>
      </c>
      <c r="J30" s="479" t="s">
        <v>420</v>
      </c>
      <c r="K30" s="593">
        <v>15.25</v>
      </c>
      <c r="M30" s="244"/>
      <c r="N30" s="519"/>
      <c r="O30" s="431"/>
      <c r="T30" s="431"/>
      <c r="X30" s="431"/>
      <c r="Z30" s="431"/>
      <c r="AA30" s="436"/>
      <c r="AC30" s="436"/>
      <c r="AL30" s="431"/>
      <c r="AO30" s="578"/>
      <c r="AT30" s="438"/>
      <c r="AU30" s="429"/>
      <c r="BC30" s="431"/>
      <c r="CR30" s="385"/>
      <c r="CU30" s="385"/>
    </row>
    <row r="31" s="204" customFormat="1" customHeight="1" spans="1:99">
      <c r="C31" s="435"/>
      <c r="F31" s="479"/>
      <c r="G31" s="204" t="s">
        <v>421</v>
      </c>
      <c r="H31" s="125"/>
      <c r="I31" s="479" t="s">
        <v>412</v>
      </c>
      <c r="J31" s="479" t="s">
        <v>422</v>
      </c>
      <c r="K31" s="593">
        <v>16.01</v>
      </c>
      <c r="M31" s="244"/>
      <c r="N31" s="519"/>
      <c r="O31" s="431"/>
      <c r="T31" s="431"/>
      <c r="X31" s="431"/>
      <c r="Z31" s="431"/>
      <c r="AA31" s="436"/>
      <c r="AC31" s="436"/>
      <c r="AL31" s="431"/>
      <c r="AO31" s="578"/>
      <c r="AT31" s="438"/>
      <c r="AU31" s="429"/>
      <c r="BC31" s="431"/>
      <c r="CR31" s="385"/>
      <c r="CU31" s="385"/>
    </row>
    <row r="32" s="385" customFormat="1" ht="42" customHeight="1" spans="1:99">
      <c r="A32" s="385">
        <v>25</v>
      </c>
      <c r="C32" s="471">
        <v>45524</v>
      </c>
      <c r="D32" s="385">
        <v>20240004769</v>
      </c>
      <c r="E32" s="1026" t="s">
        <v>423</v>
      </c>
      <c r="F32" s="501" t="s">
        <v>424</v>
      </c>
      <c r="G32" s="142" t="s">
        <v>425</v>
      </c>
      <c r="H32" s="125"/>
      <c r="I32" s="385" t="s">
        <v>254</v>
      </c>
      <c r="J32" s="385">
        <v>1</v>
      </c>
      <c r="K32" s="385">
        <v>106.72</v>
      </c>
      <c r="L32" s="385">
        <v>106.72</v>
      </c>
      <c r="M32" s="385">
        <v>26000</v>
      </c>
      <c r="N32" s="469">
        <v>2774720</v>
      </c>
      <c r="O32" s="145">
        <v>26000</v>
      </c>
      <c r="Q32" s="385">
        <v>2545614.68</v>
      </c>
      <c r="R32" s="385" t="s">
        <v>426</v>
      </c>
      <c r="S32" s="471">
        <v>45722</v>
      </c>
      <c r="T32" s="145"/>
      <c r="U32" s="440"/>
      <c r="V32" s="440"/>
      <c r="W32" s="440" t="s">
        <v>277</v>
      </c>
      <c r="X32" s="145">
        <v>50000</v>
      </c>
      <c r="Y32" s="440" t="s">
        <v>427</v>
      </c>
      <c r="Z32" s="145">
        <v>1785300</v>
      </c>
      <c r="AA32" s="440" t="s">
        <v>428</v>
      </c>
      <c r="AB32" s="145">
        <v>100000</v>
      </c>
      <c r="AC32" s="440" t="s">
        <v>429</v>
      </c>
      <c r="AD32" s="145">
        <v>200000</v>
      </c>
      <c r="AE32" s="440" t="s">
        <v>430</v>
      </c>
      <c r="AF32" s="145">
        <v>100000</v>
      </c>
      <c r="AG32" s="440" t="s">
        <v>431</v>
      </c>
      <c r="AH32" s="145">
        <v>600000</v>
      </c>
      <c r="AI32" s="440">
        <v>45995</v>
      </c>
      <c r="AJ32" s="385">
        <v>-60580</v>
      </c>
      <c r="AK32" s="146">
        <v>46062</v>
      </c>
      <c r="AL32" s="145">
        <f>X32+Z32+AB32+AD32+AF32+AH32+AJ32</f>
        <v>2774720</v>
      </c>
      <c r="AO32" s="446">
        <f t="shared" ref="AO32:AO37" si="7">N32-AL32</f>
        <v>0</v>
      </c>
      <c r="AP32" s="142">
        <v>15099260585</v>
      </c>
      <c r="AT32" s="447">
        <f t="shared" ref="AT32:AT41" si="8">AU32+AV32+AW32+AX32+AY32+AZ32+BA32+BB32</f>
        <v>800</v>
      </c>
      <c r="AU32" s="447">
        <f>200+200+200</f>
        <v>600</v>
      </c>
      <c r="AV32" s="145">
        <v>200</v>
      </c>
      <c r="AW32" s="145"/>
      <c r="AX32" s="145"/>
      <c r="AY32" s="145"/>
      <c r="AZ32" s="145"/>
      <c r="BA32" s="145"/>
      <c r="BB32" s="145"/>
      <c r="BC32" s="145">
        <f t="shared" ref="BC32:BC41" si="9">SUM(BE32:CG32)</f>
        <v>2774720</v>
      </c>
      <c r="BD32" s="540">
        <f>1%+0.18%+0.25%</f>
        <v>0.0143</v>
      </c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5"/>
      <c r="BW32" s="145"/>
      <c r="BX32" s="145"/>
      <c r="BY32" s="145"/>
      <c r="BZ32" s="145"/>
      <c r="CA32" s="145"/>
      <c r="CB32" s="145"/>
      <c r="CC32" s="145"/>
      <c r="CD32" s="145"/>
      <c r="CE32" s="145">
        <v>2774720</v>
      </c>
      <c r="CF32" s="145"/>
      <c r="CG32" s="145"/>
      <c r="CH32" s="385"/>
      <c r="CJ32" s="385" t="s">
        <v>260</v>
      </c>
      <c r="CM32" s="385" t="s">
        <v>261</v>
      </c>
    </row>
    <row r="33" s="385" customFormat="1" ht="44" customHeight="1" spans="1:91">
      <c r="A33" s="385">
        <v>26</v>
      </c>
      <c r="C33" s="471">
        <v>45398</v>
      </c>
      <c r="D33" s="385">
        <v>20240002095</v>
      </c>
      <c r="E33" s="1026" t="s">
        <v>432</v>
      </c>
      <c r="F33" s="456" t="s">
        <v>433</v>
      </c>
      <c r="G33" s="142" t="s">
        <v>434</v>
      </c>
      <c r="H33" s="125"/>
      <c r="I33" s="385" t="s">
        <v>254</v>
      </c>
      <c r="J33" s="385">
        <v>2</v>
      </c>
      <c r="K33" s="385">
        <v>103.64</v>
      </c>
      <c r="L33" s="385">
        <v>103.64</v>
      </c>
      <c r="M33" s="385">
        <v>23806.27</v>
      </c>
      <c r="N33" s="594">
        <v>2467281</v>
      </c>
      <c r="O33" s="145">
        <v>23806.26</v>
      </c>
      <c r="P33" s="385"/>
      <c r="Q33" s="385">
        <v>2263560.55</v>
      </c>
      <c r="R33" s="1026" t="s">
        <v>435</v>
      </c>
      <c r="S33" s="471">
        <v>45722</v>
      </c>
      <c r="T33" s="145"/>
      <c r="U33" s="146"/>
      <c r="V33" s="146"/>
      <c r="W33" s="146" t="s">
        <v>370</v>
      </c>
      <c r="X33" s="145">
        <v>100000</v>
      </c>
      <c r="Y33" s="146" t="s">
        <v>436</v>
      </c>
      <c r="Z33" s="145">
        <v>400000</v>
      </c>
      <c r="AA33" s="146" t="s">
        <v>437</v>
      </c>
      <c r="AB33" s="145">
        <v>743470</v>
      </c>
      <c r="AC33" s="146" t="s">
        <v>438</v>
      </c>
      <c r="AD33" s="145">
        <v>1240000</v>
      </c>
      <c r="AE33" s="146" t="s">
        <v>439</v>
      </c>
      <c r="AF33" s="385">
        <v>-16188</v>
      </c>
      <c r="AL33" s="145">
        <f t="shared" ref="AL32:AL53" si="10">X33+Z33+AB33+AD33+AF33+AH33+AJ33</f>
        <v>2467282</v>
      </c>
      <c r="AO33" s="446">
        <f t="shared" si="7"/>
        <v>-1</v>
      </c>
      <c r="AP33" s="385">
        <v>18160288656</v>
      </c>
      <c r="AT33" s="447">
        <f t="shared" si="8"/>
        <v>200</v>
      </c>
      <c r="AU33" s="447">
        <f>200</f>
        <v>200</v>
      </c>
      <c r="AV33" s="145"/>
      <c r="AW33" s="145"/>
      <c r="AX33" s="145"/>
      <c r="AY33" s="145"/>
      <c r="AZ33" s="145"/>
      <c r="BA33" s="145"/>
      <c r="BB33" s="145"/>
      <c r="BC33" s="145">
        <f t="shared" si="9"/>
        <v>2467282</v>
      </c>
      <c r="BD33" s="540">
        <f>1%+0.13%+0.14%</f>
        <v>0.0127</v>
      </c>
      <c r="BE33" s="145"/>
      <c r="BF33" s="145"/>
      <c r="BG33" s="145"/>
      <c r="BH33" s="145"/>
      <c r="BI33" s="145"/>
      <c r="BJ33" s="145"/>
      <c r="BK33" s="145"/>
      <c r="BL33" s="145"/>
      <c r="BM33" s="145"/>
      <c r="BN33" s="145">
        <v>1243470</v>
      </c>
      <c r="BO33" s="145">
        <v>1240000</v>
      </c>
      <c r="BP33" s="145"/>
      <c r="BQ33" s="145"/>
      <c r="BR33" s="145"/>
      <c r="BS33" s="145"/>
      <c r="BT33" s="145"/>
      <c r="BU33" s="145"/>
      <c r="BV33" s="145"/>
      <c r="BW33" s="145"/>
      <c r="BX33" s="145"/>
      <c r="BY33" s="145"/>
      <c r="BZ33" s="145"/>
      <c r="CA33" s="145"/>
      <c r="CB33" s="145">
        <v>-16188</v>
      </c>
      <c r="CC33" s="145"/>
      <c r="CD33" s="145"/>
      <c r="CE33" s="145"/>
      <c r="CF33" s="145"/>
      <c r="CG33" s="145"/>
      <c r="CJ33" s="385" t="s">
        <v>260</v>
      </c>
      <c r="CK33" s="385" t="s">
        <v>271</v>
      </c>
      <c r="CM33" s="385" t="s">
        <v>261</v>
      </c>
    </row>
    <row r="34" s="385" customFormat="1" customHeight="1" spans="1:91">
      <c r="A34" s="385">
        <v>27</v>
      </c>
      <c r="C34" s="471">
        <v>45202</v>
      </c>
      <c r="D34" s="1026" t="s">
        <v>440</v>
      </c>
      <c r="E34" s="1026" t="s">
        <v>441</v>
      </c>
      <c r="F34" s="1027" t="s">
        <v>442</v>
      </c>
      <c r="G34" s="142" t="s">
        <v>443</v>
      </c>
      <c r="H34" s="125"/>
      <c r="I34" s="385" t="s">
        <v>254</v>
      </c>
      <c r="J34" s="385">
        <v>3</v>
      </c>
      <c r="K34" s="385">
        <v>68.28</v>
      </c>
      <c r="L34" s="385">
        <v>68.28</v>
      </c>
      <c r="M34" s="385">
        <v>23776.41</v>
      </c>
      <c r="N34" s="469">
        <v>1623453</v>
      </c>
      <c r="O34" s="145">
        <v>23422.22</v>
      </c>
      <c r="P34" s="385"/>
      <c r="Q34" s="385">
        <v>1489406.42</v>
      </c>
      <c r="R34" s="1026" t="s">
        <v>444</v>
      </c>
      <c r="S34" s="471">
        <v>45722</v>
      </c>
      <c r="T34" s="145"/>
      <c r="U34" s="440"/>
      <c r="V34" s="440"/>
      <c r="W34" s="440" t="s">
        <v>445</v>
      </c>
      <c r="X34" s="145">
        <v>100000</v>
      </c>
      <c r="Y34" s="440" t="s">
        <v>446</v>
      </c>
      <c r="Z34" s="145">
        <f>270000+453915</f>
        <v>723915</v>
      </c>
      <c r="AA34" s="440" t="s">
        <v>447</v>
      </c>
      <c r="AB34" s="145">
        <v>810000</v>
      </c>
      <c r="AC34" s="440" t="s">
        <v>448</v>
      </c>
      <c r="AD34" s="145">
        <v>-10461</v>
      </c>
      <c r="AE34" s="440"/>
      <c r="AL34" s="145">
        <f t="shared" si="10"/>
        <v>1623454</v>
      </c>
      <c r="AO34" s="446">
        <f t="shared" si="7"/>
        <v>-1</v>
      </c>
      <c r="AP34" s="385">
        <v>13565767398</v>
      </c>
      <c r="AT34" s="447">
        <f t="shared" si="8"/>
        <v>800</v>
      </c>
      <c r="AU34" s="447">
        <v>200</v>
      </c>
      <c r="AV34" s="145"/>
      <c r="AW34" s="145">
        <v>200</v>
      </c>
      <c r="AX34" s="145"/>
      <c r="AY34" s="145">
        <f>200+200</f>
        <v>400</v>
      </c>
      <c r="AZ34" s="145"/>
      <c r="BA34" s="145"/>
      <c r="BB34" s="145"/>
      <c r="BC34" s="145">
        <f t="shared" si="9"/>
        <v>1623453</v>
      </c>
      <c r="BD34" s="540">
        <f>1%+0.18%+0.25%</f>
        <v>0.0143</v>
      </c>
      <c r="BE34" s="145"/>
      <c r="BF34" s="145"/>
      <c r="BG34" s="145"/>
      <c r="BH34" s="145"/>
      <c r="BI34" s="145"/>
      <c r="BJ34" s="145"/>
      <c r="BK34" s="145">
        <v>1633915</v>
      </c>
      <c r="BL34" s="145"/>
      <c r="BM34" s="145"/>
      <c r="BN34" s="145"/>
      <c r="BO34" s="145"/>
      <c r="BP34" s="145"/>
      <c r="BQ34" s="145"/>
      <c r="BR34" s="145"/>
      <c r="BS34" s="145"/>
      <c r="BT34" s="145"/>
      <c r="BU34" s="145"/>
      <c r="BV34" s="145"/>
      <c r="BW34" s="145"/>
      <c r="BX34" s="145"/>
      <c r="BY34" s="145"/>
      <c r="BZ34" s="145"/>
      <c r="CA34" s="145"/>
      <c r="CB34" s="145">
        <v>-10462</v>
      </c>
      <c r="CC34" s="145"/>
      <c r="CD34" s="145"/>
      <c r="CE34" s="145"/>
      <c r="CF34" s="145"/>
      <c r="CG34" s="145"/>
      <c r="CH34" s="385"/>
      <c r="CJ34" s="385" t="s">
        <v>260</v>
      </c>
      <c r="CK34" s="385" t="s">
        <v>271</v>
      </c>
      <c r="CM34" s="385" t="s">
        <v>261</v>
      </c>
    </row>
    <row r="35" s="385" customFormat="1" ht="43" customHeight="1" spans="1:91">
      <c r="A35" s="385">
        <v>28</v>
      </c>
      <c r="C35" s="471">
        <v>45198</v>
      </c>
      <c r="D35" s="385">
        <v>20230008210</v>
      </c>
      <c r="E35" s="1026" t="s">
        <v>449</v>
      </c>
      <c r="F35" s="456" t="s">
        <v>450</v>
      </c>
      <c r="G35" s="142" t="s">
        <v>451</v>
      </c>
      <c r="H35" s="125"/>
      <c r="I35" s="385" t="s">
        <v>254</v>
      </c>
      <c r="J35" s="385">
        <v>4</v>
      </c>
      <c r="K35" s="385">
        <v>68.28</v>
      </c>
      <c r="L35" s="385">
        <v>68.28</v>
      </c>
      <c r="M35" s="385">
        <v>23428.405</v>
      </c>
      <c r="N35" s="469">
        <v>1599691</v>
      </c>
      <c r="O35" s="145">
        <v>23229.92</v>
      </c>
      <c r="P35" s="385"/>
      <c r="Q35" s="385">
        <v>1467606.42</v>
      </c>
      <c r="R35" s="1026" t="s">
        <v>452</v>
      </c>
      <c r="S35" s="471">
        <v>45722</v>
      </c>
      <c r="T35" s="145"/>
      <c r="U35" s="146"/>
      <c r="V35" s="1028" t="s">
        <v>453</v>
      </c>
      <c r="W35" s="440" t="s">
        <v>294</v>
      </c>
      <c r="X35" s="145">
        <v>300000</v>
      </c>
      <c r="Y35" s="442" t="s">
        <v>454</v>
      </c>
      <c r="Z35" s="145">
        <f>115000+75000</f>
        <v>190000</v>
      </c>
      <c r="AA35" s="146" t="s">
        <v>455</v>
      </c>
      <c r="AB35" s="145">
        <v>210000</v>
      </c>
      <c r="AC35" s="146" t="s">
        <v>456</v>
      </c>
      <c r="AD35" s="145">
        <v>630000</v>
      </c>
      <c r="AE35" s="146" t="s">
        <v>457</v>
      </c>
      <c r="AF35" s="145">
        <v>280000</v>
      </c>
      <c r="AG35" s="146" t="s">
        <v>458</v>
      </c>
      <c r="AH35" s="385">
        <v>-10308</v>
      </c>
      <c r="AL35" s="145">
        <f t="shared" si="10"/>
        <v>1599692</v>
      </c>
      <c r="AO35" s="446">
        <f t="shared" si="7"/>
        <v>-1</v>
      </c>
      <c r="AP35" s="385">
        <v>18999626053</v>
      </c>
      <c r="AT35" s="447">
        <f t="shared" si="8"/>
        <v>400</v>
      </c>
      <c r="AU35" s="447"/>
      <c r="AV35" s="145">
        <v>200</v>
      </c>
      <c r="AW35" s="145"/>
      <c r="AX35" s="145"/>
      <c r="AY35" s="145"/>
      <c r="AZ35" s="145">
        <v>200</v>
      </c>
      <c r="BA35" s="145"/>
      <c r="BB35" s="145"/>
      <c r="BC35" s="145">
        <f t="shared" si="9"/>
        <v>1599692</v>
      </c>
      <c r="BD35" s="140">
        <f t="shared" ref="BD35:BD39" si="11">1%+0.18%+0.25%</f>
        <v>0.0143</v>
      </c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>
        <v>1610000</v>
      </c>
      <c r="BQ35" s="145"/>
      <c r="BR35" s="145"/>
      <c r="BS35" s="145"/>
      <c r="BT35" s="145"/>
      <c r="BU35" s="145"/>
      <c r="BV35" s="145"/>
      <c r="BW35" s="145"/>
      <c r="BX35" s="145"/>
      <c r="BY35" s="145"/>
      <c r="BZ35" s="145"/>
      <c r="CA35" s="145"/>
      <c r="CB35" s="145">
        <v>-10308</v>
      </c>
      <c r="CC35" s="145"/>
      <c r="CD35" s="145"/>
      <c r="CE35" s="145"/>
      <c r="CF35" s="145"/>
      <c r="CG35" s="145"/>
      <c r="CJ35" s="385" t="s">
        <v>260</v>
      </c>
      <c r="CK35" s="385" t="s">
        <v>271</v>
      </c>
      <c r="CM35" s="385" t="s">
        <v>261</v>
      </c>
    </row>
    <row r="36" s="385" customFormat="1" ht="44" customHeight="1" spans="1:91">
      <c r="A36" s="385">
        <v>29</v>
      </c>
      <c r="C36" s="471">
        <v>45204</v>
      </c>
      <c r="D36" s="385">
        <v>20230008684</v>
      </c>
      <c r="E36" s="1026" t="s">
        <v>459</v>
      </c>
      <c r="F36" s="456" t="s">
        <v>460</v>
      </c>
      <c r="G36" s="142" t="s">
        <v>461</v>
      </c>
      <c r="H36" s="125"/>
      <c r="I36" s="385" t="s">
        <v>254</v>
      </c>
      <c r="J36" s="385">
        <v>5</v>
      </c>
      <c r="K36" s="385">
        <v>68.28</v>
      </c>
      <c r="L36" s="385">
        <v>68.28</v>
      </c>
      <c r="M36" s="385">
        <v>23333.77</v>
      </c>
      <c r="N36" s="469">
        <v>1593230</v>
      </c>
      <c r="O36" s="145">
        <v>23133.77</v>
      </c>
      <c r="P36" s="385"/>
      <c r="Q36" s="442">
        <v>1461678.9</v>
      </c>
      <c r="R36" s="1026" t="s">
        <v>462</v>
      </c>
      <c r="S36" s="471">
        <v>45722</v>
      </c>
      <c r="T36" s="145"/>
      <c r="V36" s="385" t="s">
        <v>463</v>
      </c>
      <c r="W36" s="385" t="s">
        <v>464</v>
      </c>
      <c r="X36" s="145">
        <v>10000</v>
      </c>
      <c r="Y36" s="440" t="s">
        <v>465</v>
      </c>
      <c r="Z36" s="145">
        <v>90000</v>
      </c>
      <c r="AA36" s="442" t="s">
        <v>342</v>
      </c>
      <c r="AB36" s="145">
        <v>1503497</v>
      </c>
      <c r="AC36" s="385" t="s">
        <v>447</v>
      </c>
      <c r="AD36" s="385">
        <v>-10266</v>
      </c>
      <c r="AL36" s="145">
        <f t="shared" si="10"/>
        <v>1593231</v>
      </c>
      <c r="AO36" s="446">
        <f t="shared" si="7"/>
        <v>-1</v>
      </c>
      <c r="AP36" s="385">
        <v>19990631707</v>
      </c>
      <c r="AT36" s="447">
        <f t="shared" si="8"/>
        <v>500</v>
      </c>
      <c r="AU36" s="142"/>
      <c r="AW36" s="385">
        <v>200</v>
      </c>
      <c r="BB36" s="385">
        <v>300</v>
      </c>
      <c r="BC36" s="145">
        <f t="shared" si="9"/>
        <v>1593231</v>
      </c>
      <c r="BD36" s="540">
        <f t="shared" si="11"/>
        <v>0.0143</v>
      </c>
      <c r="BH36" s="385">
        <v>1603497</v>
      </c>
      <c r="CB36" s="385">
        <v>-10266</v>
      </c>
      <c r="CJ36" s="385" t="s">
        <v>260</v>
      </c>
      <c r="CK36" s="385" t="s">
        <v>271</v>
      </c>
      <c r="CM36" s="385" t="s">
        <v>261</v>
      </c>
    </row>
    <row r="37" s="385" customFormat="1" ht="34" customHeight="1" spans="1:91">
      <c r="A37" s="385">
        <v>30</v>
      </c>
      <c r="C37" s="471">
        <v>45204</v>
      </c>
      <c r="D37" s="385">
        <v>20230008648</v>
      </c>
      <c r="E37" s="1026" t="s">
        <v>466</v>
      </c>
      <c r="F37" s="456" t="s">
        <v>467</v>
      </c>
      <c r="G37" s="142" t="s">
        <v>468</v>
      </c>
      <c r="H37" s="125"/>
      <c r="I37" s="385" t="s">
        <v>254</v>
      </c>
      <c r="J37" s="385">
        <v>6</v>
      </c>
      <c r="K37" s="385">
        <v>60.15</v>
      </c>
      <c r="L37" s="385">
        <v>60.15</v>
      </c>
      <c r="M37" s="385">
        <v>23000</v>
      </c>
      <c r="N37" s="469">
        <v>1383450</v>
      </c>
      <c r="O37" s="145">
        <v>22747.48</v>
      </c>
      <c r="Q37" s="385">
        <v>1269220.18</v>
      </c>
      <c r="R37" s="1026" t="s">
        <v>469</v>
      </c>
      <c r="S37" s="471">
        <v>45722</v>
      </c>
      <c r="T37" s="145"/>
      <c r="U37" s="146"/>
      <c r="V37" s="142"/>
      <c r="W37" s="142" t="s">
        <v>470</v>
      </c>
      <c r="X37" s="145">
        <v>100000</v>
      </c>
      <c r="Y37" s="146" t="s">
        <v>471</v>
      </c>
      <c r="Z37" s="385">
        <v>612420</v>
      </c>
      <c r="AA37" s="385" t="s">
        <v>471</v>
      </c>
      <c r="AB37" s="385">
        <v>500000</v>
      </c>
      <c r="AC37" s="385" t="s">
        <v>472</v>
      </c>
      <c r="AD37" s="145">
        <v>180000</v>
      </c>
      <c r="AE37" s="146" t="s">
        <v>473</v>
      </c>
      <c r="AF37" s="385">
        <v>-8970</v>
      </c>
      <c r="AH37" s="145"/>
      <c r="AI37" s="146"/>
      <c r="AL37" s="145">
        <f t="shared" si="10"/>
        <v>1383450</v>
      </c>
      <c r="AO37" s="446">
        <f t="shared" si="7"/>
        <v>0</v>
      </c>
      <c r="AP37" s="385">
        <v>18799850653</v>
      </c>
      <c r="AT37" s="447">
        <f t="shared" si="8"/>
        <v>400</v>
      </c>
      <c r="AU37" s="447"/>
      <c r="AV37" s="145">
        <v>200</v>
      </c>
      <c r="AW37" s="145"/>
      <c r="AX37" s="145">
        <v>200</v>
      </c>
      <c r="AY37" s="145"/>
      <c r="AZ37" s="145"/>
      <c r="BA37" s="145"/>
      <c r="BB37" s="145"/>
      <c r="BC37" s="145">
        <f t="shared" si="9"/>
        <v>1383450</v>
      </c>
      <c r="BD37" s="540">
        <f>1%+0.18%+0.2%</f>
        <v>0.0138</v>
      </c>
      <c r="BE37" s="145"/>
      <c r="BF37" s="145"/>
      <c r="BG37" s="145"/>
      <c r="BH37" s="145"/>
      <c r="BI37" s="145">
        <v>1392420</v>
      </c>
      <c r="BJ37" s="145"/>
      <c r="BK37" s="145"/>
      <c r="BL37" s="145"/>
      <c r="BM37" s="145"/>
      <c r="BN37" s="145"/>
      <c r="BO37" s="145"/>
      <c r="BP37" s="145"/>
      <c r="BQ37" s="145"/>
      <c r="BR37" s="145"/>
      <c r="BS37" s="145"/>
      <c r="BT37" s="145"/>
      <c r="BU37" s="145"/>
      <c r="BV37" s="145"/>
      <c r="BW37" s="145"/>
      <c r="BX37" s="145"/>
      <c r="BY37" s="145"/>
      <c r="BZ37" s="145"/>
      <c r="CA37" s="145"/>
      <c r="CB37" s="145">
        <v>-8970</v>
      </c>
      <c r="CC37" s="145"/>
      <c r="CD37" s="145"/>
      <c r="CE37" s="145"/>
      <c r="CF37" s="145"/>
      <c r="CG37" s="145"/>
      <c r="CH37" s="385"/>
      <c r="CJ37" s="385" t="s">
        <v>260</v>
      </c>
      <c r="CK37" s="385" t="s">
        <v>271</v>
      </c>
      <c r="CM37" s="385" t="s">
        <v>261</v>
      </c>
    </row>
    <row r="38" s="385" customFormat="1" customHeight="1" spans="1:91">
      <c r="A38" s="385">
        <v>31</v>
      </c>
      <c r="C38" s="471">
        <v>45370</v>
      </c>
      <c r="D38" s="385">
        <v>20240001485</v>
      </c>
      <c r="E38" s="1026" t="s">
        <v>474</v>
      </c>
      <c r="F38" s="456" t="s">
        <v>475</v>
      </c>
      <c r="G38" s="142" t="s">
        <v>476</v>
      </c>
      <c r="H38" s="125"/>
      <c r="I38" s="385" t="s">
        <v>254</v>
      </c>
      <c r="J38" s="385">
        <v>7</v>
      </c>
      <c r="K38" s="385">
        <v>71.53</v>
      </c>
      <c r="L38" s="385">
        <v>71.53</v>
      </c>
      <c r="M38" s="385">
        <v>23600.01</v>
      </c>
      <c r="N38" s="469">
        <v>1688109</v>
      </c>
      <c r="O38" s="145">
        <v>23516.91</v>
      </c>
      <c r="Q38" s="385">
        <v>1548723.85</v>
      </c>
      <c r="R38" s="1026" t="s">
        <v>477</v>
      </c>
      <c r="S38" s="471">
        <v>45722</v>
      </c>
      <c r="T38" s="145"/>
      <c r="V38" s="1026" t="s">
        <v>478</v>
      </c>
      <c r="W38" s="385" t="s">
        <v>277</v>
      </c>
      <c r="X38" s="145">
        <v>60000</v>
      </c>
      <c r="Y38" s="385" t="s">
        <v>479</v>
      </c>
      <c r="Z38" s="145">
        <v>40000</v>
      </c>
      <c r="AA38" s="385" t="s">
        <v>455</v>
      </c>
      <c r="AB38" s="145">
        <v>1000000</v>
      </c>
      <c r="AC38" s="385" t="s">
        <v>480</v>
      </c>
      <c r="AD38" s="145">
        <v>500000</v>
      </c>
      <c r="AE38" s="385" t="s">
        <v>481</v>
      </c>
      <c r="AF38" s="145">
        <v>20000</v>
      </c>
      <c r="AG38" s="385" t="s">
        <v>482</v>
      </c>
      <c r="AH38" s="145">
        <v>78965</v>
      </c>
      <c r="AI38" s="385" t="s">
        <v>483</v>
      </c>
      <c r="AJ38" s="385">
        <v>-10856</v>
      </c>
      <c r="AL38" s="145">
        <f t="shared" si="10"/>
        <v>1688109</v>
      </c>
      <c r="AO38" s="446">
        <f t="shared" ref="AO38:AO43" si="12">N38-AL38</f>
        <v>0</v>
      </c>
      <c r="AP38" s="385">
        <v>18109967333</v>
      </c>
      <c r="AT38" s="447">
        <f t="shared" si="8"/>
        <v>500</v>
      </c>
      <c r="AU38" s="447"/>
      <c r="AV38" s="145"/>
      <c r="AW38" s="145">
        <v>200</v>
      </c>
      <c r="AX38" s="145"/>
      <c r="AY38" s="145"/>
      <c r="AZ38" s="145"/>
      <c r="BA38" s="145">
        <v>300</v>
      </c>
      <c r="BB38" s="145"/>
      <c r="BC38" s="145">
        <f t="shared" si="9"/>
        <v>1688109</v>
      </c>
      <c r="BD38" s="140">
        <f t="shared" si="11"/>
        <v>0.0143</v>
      </c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  <c r="BQ38" s="145">
        <v>1698965</v>
      </c>
      <c r="BR38" s="145"/>
      <c r="BS38" s="145"/>
      <c r="BT38" s="145"/>
      <c r="BU38" s="145"/>
      <c r="BV38" s="145"/>
      <c r="BW38" s="145"/>
      <c r="BX38" s="145"/>
      <c r="BY38" s="145"/>
      <c r="BZ38" s="145"/>
      <c r="CA38" s="145"/>
      <c r="CB38" s="145">
        <v>-10856</v>
      </c>
      <c r="CC38" s="145"/>
      <c r="CD38" s="145"/>
      <c r="CE38" s="145"/>
      <c r="CF38" s="145"/>
      <c r="CG38" s="145"/>
      <c r="CJ38" s="385" t="s">
        <v>260</v>
      </c>
      <c r="CK38" s="385" t="s">
        <v>271</v>
      </c>
      <c r="CM38" s="385" t="s">
        <v>261</v>
      </c>
    </row>
    <row r="39" s="385" customFormat="1" customHeight="1" spans="1:91">
      <c r="A39" s="385">
        <v>32</v>
      </c>
      <c r="C39" s="471">
        <v>45204</v>
      </c>
      <c r="D39" s="385">
        <v>20230008670</v>
      </c>
      <c r="E39" s="1026" t="s">
        <v>484</v>
      </c>
      <c r="F39" s="456" t="s">
        <v>485</v>
      </c>
      <c r="G39" s="142" t="s">
        <v>486</v>
      </c>
      <c r="H39" s="125"/>
      <c r="I39" s="385" t="s">
        <v>254</v>
      </c>
      <c r="J39" s="385">
        <v>8</v>
      </c>
      <c r="K39" s="385">
        <v>68.28</v>
      </c>
      <c r="L39" s="385">
        <v>68.28</v>
      </c>
      <c r="M39" s="385">
        <v>24000</v>
      </c>
      <c r="N39" s="469">
        <v>1638720</v>
      </c>
      <c r="O39" s="145">
        <v>23710.67</v>
      </c>
      <c r="Q39" s="385">
        <v>1503412.84</v>
      </c>
      <c r="R39" s="1026" t="s">
        <v>487</v>
      </c>
      <c r="S39" s="471">
        <v>45722</v>
      </c>
      <c r="T39" s="145"/>
      <c r="U39" s="146"/>
      <c r="V39" s="440" t="s">
        <v>488</v>
      </c>
      <c r="W39" s="440" t="s">
        <v>489</v>
      </c>
      <c r="X39" s="145">
        <f>10000+10000</f>
        <v>20000</v>
      </c>
      <c r="Y39" s="440" t="s">
        <v>490</v>
      </c>
      <c r="Z39" s="145">
        <v>80000</v>
      </c>
      <c r="AA39" s="442" t="s">
        <v>491</v>
      </c>
      <c r="AB39" s="145">
        <f>947000+2280</f>
        <v>949280</v>
      </c>
      <c r="AC39" s="146" t="s">
        <v>471</v>
      </c>
      <c r="AD39" s="145">
        <v>600000</v>
      </c>
      <c r="AE39" s="146" t="s">
        <v>492</v>
      </c>
      <c r="AF39" s="385">
        <v>-10560</v>
      </c>
      <c r="AL39" s="145">
        <f t="shared" si="10"/>
        <v>1638720</v>
      </c>
      <c r="AO39" s="446">
        <f t="shared" si="12"/>
        <v>0</v>
      </c>
      <c r="AP39" s="385">
        <v>15899027167</v>
      </c>
      <c r="AT39" s="447">
        <f t="shared" si="8"/>
        <v>500</v>
      </c>
      <c r="AU39" s="447"/>
      <c r="AV39" s="145">
        <v>200</v>
      </c>
      <c r="AW39" s="145"/>
      <c r="AX39" s="145"/>
      <c r="AY39" s="145"/>
      <c r="AZ39" s="145"/>
      <c r="BA39" s="145"/>
      <c r="BB39" s="145">
        <v>300</v>
      </c>
      <c r="BC39" s="145">
        <f t="shared" si="9"/>
        <v>1638720</v>
      </c>
      <c r="BD39" s="140">
        <f t="shared" si="11"/>
        <v>0.0143</v>
      </c>
      <c r="BE39" s="145"/>
      <c r="BF39" s="145"/>
      <c r="BG39" s="145"/>
      <c r="BH39" s="145"/>
      <c r="BI39" s="145"/>
      <c r="BJ39" s="145">
        <v>1649280</v>
      </c>
      <c r="BK39" s="145"/>
      <c r="BL39" s="145"/>
      <c r="BM39" s="145"/>
      <c r="BN39" s="145"/>
      <c r="BO39" s="145"/>
      <c r="BP39" s="145"/>
      <c r="BQ39" s="145"/>
      <c r="BR39" s="145"/>
      <c r="BS39" s="145"/>
      <c r="BT39" s="145"/>
      <c r="BU39" s="145"/>
      <c r="BV39" s="145"/>
      <c r="BW39" s="145"/>
      <c r="BX39" s="145"/>
      <c r="BY39" s="145"/>
      <c r="BZ39" s="145"/>
      <c r="CA39" s="145"/>
      <c r="CB39" s="145">
        <v>-10560</v>
      </c>
      <c r="CC39" s="145"/>
      <c r="CD39" s="145"/>
      <c r="CE39" s="145"/>
      <c r="CF39" s="145"/>
      <c r="CG39" s="145"/>
      <c r="CH39" s="385"/>
      <c r="CJ39" s="385" t="s">
        <v>260</v>
      </c>
      <c r="CK39" s="385" t="s">
        <v>271</v>
      </c>
      <c r="CM39" s="385" t="s">
        <v>261</v>
      </c>
    </row>
    <row r="40" s="385" customFormat="1" customHeight="1" spans="1:91">
      <c r="A40" s="385">
        <v>33</v>
      </c>
      <c r="B40" s="385"/>
      <c r="C40" s="471">
        <v>45566</v>
      </c>
      <c r="D40" s="385">
        <v>20240005488</v>
      </c>
      <c r="E40" s="385" t="s">
        <v>493</v>
      </c>
      <c r="F40" s="456" t="s">
        <v>494</v>
      </c>
      <c r="G40" s="385" t="s">
        <v>495</v>
      </c>
      <c r="H40" s="125"/>
      <c r="I40" s="385" t="s">
        <v>254</v>
      </c>
      <c r="J40" s="385">
        <v>9</v>
      </c>
      <c r="K40" s="385">
        <v>121.98</v>
      </c>
      <c r="L40" s="385">
        <v>121.98</v>
      </c>
      <c r="M40" s="385">
        <v>24300</v>
      </c>
      <c r="N40" s="469">
        <v>2964114</v>
      </c>
      <c r="O40" s="145">
        <v>22881</v>
      </c>
      <c r="P40" s="385"/>
      <c r="Q40" s="385">
        <v>2719370.64</v>
      </c>
      <c r="R40" s="1026" t="s">
        <v>496</v>
      </c>
      <c r="S40" s="471">
        <v>45576</v>
      </c>
      <c r="T40" s="145"/>
      <c r="U40" s="146"/>
      <c r="V40" s="146"/>
      <c r="W40" s="146"/>
      <c r="X40" s="145">
        <f>1500000</f>
        <v>1500000</v>
      </c>
      <c r="Y40" s="146" t="s">
        <v>258</v>
      </c>
      <c r="Z40" s="145">
        <v>1488900</v>
      </c>
      <c r="AA40" s="442" t="s">
        <v>497</v>
      </c>
      <c r="AB40" s="385">
        <v>-24786</v>
      </c>
      <c r="AC40" s="442"/>
      <c r="AL40" s="145">
        <f t="shared" si="10"/>
        <v>2964114</v>
      </c>
      <c r="AO40" s="446">
        <f t="shared" si="12"/>
        <v>0</v>
      </c>
      <c r="AP40" s="385">
        <v>18999606611</v>
      </c>
      <c r="AT40" s="447">
        <f t="shared" si="8"/>
        <v>200</v>
      </c>
      <c r="AU40" s="447"/>
      <c r="AV40" s="145">
        <v>200</v>
      </c>
      <c r="AW40" s="145"/>
      <c r="AX40" s="145"/>
      <c r="AY40" s="145"/>
      <c r="AZ40" s="145"/>
      <c r="BA40" s="145"/>
      <c r="BB40" s="145"/>
      <c r="BC40" s="145">
        <f t="shared" si="9"/>
        <v>0</v>
      </c>
      <c r="BD40" s="540"/>
      <c r="BE40" s="145"/>
      <c r="BF40" s="145"/>
      <c r="BG40" s="145"/>
      <c r="BH40" s="145"/>
      <c r="BI40" s="145"/>
      <c r="BJ40" s="145"/>
      <c r="BK40" s="145"/>
      <c r="BL40" s="145"/>
      <c r="BM40" s="145"/>
      <c r="BN40" s="145"/>
      <c r="BO40" s="145"/>
      <c r="BP40" s="145"/>
      <c r="BQ40" s="145"/>
      <c r="BR40" s="145"/>
      <c r="BS40" s="145"/>
      <c r="BT40" s="145"/>
      <c r="BU40" s="145"/>
      <c r="BV40" s="145"/>
      <c r="BW40" s="145"/>
      <c r="BX40" s="145"/>
      <c r="BY40" s="145"/>
      <c r="BZ40" s="145"/>
      <c r="CA40" s="145"/>
      <c r="CB40" s="145"/>
      <c r="CC40" s="145"/>
      <c r="CD40" s="145"/>
      <c r="CE40" s="145"/>
      <c r="CF40" s="145"/>
      <c r="CG40" s="145"/>
      <c r="CJ40" s="385" t="s">
        <v>260</v>
      </c>
      <c r="CM40" s="385" t="s">
        <v>261</v>
      </c>
    </row>
    <row r="41" s="385" customFormat="1" ht="60" customHeight="1" spans="1:91">
      <c r="A41" s="385">
        <v>34</v>
      </c>
      <c r="C41" s="471">
        <v>45651</v>
      </c>
      <c r="D41" s="385">
        <v>20240007440</v>
      </c>
      <c r="E41" s="1026" t="s">
        <v>498</v>
      </c>
      <c r="F41" s="456" t="s">
        <v>499</v>
      </c>
      <c r="G41" s="142" t="s">
        <v>500</v>
      </c>
      <c r="H41" s="125"/>
      <c r="I41" s="385" t="s">
        <v>254</v>
      </c>
      <c r="J41" s="385">
        <v>10</v>
      </c>
      <c r="K41" s="385">
        <v>206.2</v>
      </c>
      <c r="L41" s="385">
        <v>206.2</v>
      </c>
      <c r="M41" s="385">
        <v>25537.24</v>
      </c>
      <c r="N41" s="469">
        <v>5265780</v>
      </c>
      <c r="O41" s="145">
        <v>25537.24</v>
      </c>
      <c r="P41" s="385"/>
      <c r="Q41" s="385">
        <v>4830990.83</v>
      </c>
      <c r="R41" s="1026" t="s">
        <v>501</v>
      </c>
      <c r="S41" s="471">
        <v>45672</v>
      </c>
      <c r="T41" s="145"/>
      <c r="U41" s="146"/>
      <c r="V41" s="440"/>
      <c r="W41" s="146" t="s">
        <v>294</v>
      </c>
      <c r="X41" s="145">
        <v>50000</v>
      </c>
      <c r="Y41" s="440" t="s">
        <v>502</v>
      </c>
      <c r="Z41" s="145">
        <v>300000</v>
      </c>
      <c r="AA41" s="146" t="s">
        <v>503</v>
      </c>
      <c r="AB41" s="145">
        <v>650000</v>
      </c>
      <c r="AC41" s="146" t="s">
        <v>504</v>
      </c>
      <c r="AD41" s="145">
        <v>5780</v>
      </c>
      <c r="AE41" s="146" t="s">
        <v>505</v>
      </c>
      <c r="AF41" s="385">
        <v>2630000</v>
      </c>
      <c r="AG41" s="385" t="s">
        <v>506</v>
      </c>
      <c r="AH41" s="145">
        <v>200000</v>
      </c>
      <c r="AI41" s="146" t="s">
        <v>507</v>
      </c>
      <c r="AJ41" s="145">
        <f>200000+200000+50000+150000+200000+200000+210000+220000</f>
        <v>1430000</v>
      </c>
      <c r="AK41" s="440" t="s">
        <v>508</v>
      </c>
      <c r="AL41" s="145">
        <f t="shared" si="10"/>
        <v>5265780</v>
      </c>
      <c r="AO41" s="446">
        <f t="shared" si="12"/>
        <v>0</v>
      </c>
      <c r="AP41" s="385">
        <v>18196458777</v>
      </c>
      <c r="AT41" s="447">
        <f t="shared" si="8"/>
        <v>500</v>
      </c>
      <c r="AU41" s="447"/>
      <c r="AV41" s="145">
        <v>200</v>
      </c>
      <c r="AW41" s="145"/>
      <c r="AX41" s="145"/>
      <c r="AY41" s="145"/>
      <c r="AZ41" s="145"/>
      <c r="BA41" s="145">
        <v>300</v>
      </c>
      <c r="BB41" s="145"/>
      <c r="BC41" s="145">
        <f t="shared" si="9"/>
        <v>5265780</v>
      </c>
      <c r="BD41" s="540">
        <f>1%+0.25%</f>
        <v>0.0125</v>
      </c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5"/>
      <c r="BQ41" s="145"/>
      <c r="BR41" s="145"/>
      <c r="BS41" s="145"/>
      <c r="BT41" s="145"/>
      <c r="BU41" s="145"/>
      <c r="BV41" s="145"/>
      <c r="BW41" s="145"/>
      <c r="BX41" s="145"/>
      <c r="BY41" s="145"/>
      <c r="BZ41" s="145"/>
      <c r="CA41" s="145"/>
      <c r="CB41" s="145"/>
      <c r="CC41" s="145">
        <v>5265780</v>
      </c>
      <c r="CD41" s="145"/>
      <c r="CE41" s="145"/>
      <c r="CF41" s="145"/>
      <c r="CG41" s="145"/>
      <c r="CH41" s="385"/>
      <c r="CJ41" s="385" t="s">
        <v>260</v>
      </c>
      <c r="CM41" s="385" t="s">
        <v>261</v>
      </c>
    </row>
    <row r="42" s="385" customFormat="1" customHeight="1" spans="1:91">
      <c r="A42" s="385">
        <v>35</v>
      </c>
      <c r="C42" s="471">
        <v>45527</v>
      </c>
      <c r="D42" s="385">
        <v>20240004826</v>
      </c>
      <c r="F42" s="456" t="s">
        <v>509</v>
      </c>
      <c r="G42" s="385" t="s">
        <v>510</v>
      </c>
      <c r="H42" s="125"/>
      <c r="I42" s="385" t="s">
        <v>254</v>
      </c>
      <c r="J42" s="385">
        <v>11</v>
      </c>
      <c r="K42" s="385">
        <v>178.05</v>
      </c>
      <c r="L42" s="385">
        <v>178.05</v>
      </c>
      <c r="M42" s="385">
        <v>25669.65</v>
      </c>
      <c r="N42" s="469">
        <v>4570480</v>
      </c>
      <c r="O42" s="389">
        <v>25669.645</v>
      </c>
      <c r="Q42" s="385">
        <v>4193100.92</v>
      </c>
      <c r="R42" s="1026" t="s">
        <v>511</v>
      </c>
      <c r="S42" s="471">
        <v>45722</v>
      </c>
      <c r="T42" s="145"/>
      <c r="U42" s="146"/>
      <c r="V42" s="142"/>
      <c r="W42" s="146" t="s">
        <v>380</v>
      </c>
      <c r="X42" s="145">
        <f>100000+100000</f>
        <v>200000</v>
      </c>
      <c r="Y42" s="440" t="s">
        <v>512</v>
      </c>
      <c r="Z42" s="145">
        <v>500000</v>
      </c>
      <c r="AA42" s="146" t="s">
        <v>513</v>
      </c>
      <c r="AB42" s="145">
        <v>300000</v>
      </c>
      <c r="AC42" s="146" t="s">
        <v>472</v>
      </c>
      <c r="AD42" s="145">
        <v>200000</v>
      </c>
      <c r="AE42" s="146" t="s">
        <v>473</v>
      </c>
      <c r="AF42" s="145">
        <v>300000</v>
      </c>
      <c r="AG42" s="146" t="s">
        <v>514</v>
      </c>
      <c r="AH42" s="145">
        <v>100000</v>
      </c>
      <c r="AI42" s="146" t="s">
        <v>515</v>
      </c>
      <c r="AJ42" s="145">
        <f>300000+400000+300000+2000000-29520</f>
        <v>2970480</v>
      </c>
      <c r="AK42" s="142" t="s">
        <v>516</v>
      </c>
      <c r="AL42" s="145">
        <f t="shared" si="10"/>
        <v>4570480</v>
      </c>
      <c r="AO42" s="446">
        <f t="shared" si="12"/>
        <v>0</v>
      </c>
      <c r="AP42" s="385">
        <v>18099969889</v>
      </c>
      <c r="AT42" s="447">
        <f t="shared" ref="AT42:AT73" si="13">AU42+AV42+AW42+AX42+AY42+AZ42+BA42+BB42</f>
        <v>0</v>
      </c>
      <c r="AU42" s="447"/>
      <c r="AV42" s="145"/>
      <c r="AW42" s="145"/>
      <c r="AX42" s="145"/>
      <c r="AY42" s="145"/>
      <c r="AZ42" s="145"/>
      <c r="BA42" s="145"/>
      <c r="BB42" s="145"/>
      <c r="BC42" s="145">
        <f t="shared" ref="BC42:BC73" si="14">SUM(BE42:CG42)</f>
        <v>4570480</v>
      </c>
      <c r="BD42" s="540">
        <v>0.0138</v>
      </c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5"/>
      <c r="BQ42" s="145"/>
      <c r="BR42" s="145">
        <v>2300000</v>
      </c>
      <c r="BS42" s="145">
        <v>2300000</v>
      </c>
      <c r="BT42" s="145"/>
      <c r="BU42" s="145"/>
      <c r="BV42" s="145"/>
      <c r="BW42" s="145"/>
      <c r="BX42" s="145"/>
      <c r="BY42" s="145"/>
      <c r="BZ42" s="145"/>
      <c r="CA42" s="145"/>
      <c r="CB42" s="145">
        <v>-29520</v>
      </c>
      <c r="CC42" s="145"/>
      <c r="CD42" s="145"/>
      <c r="CE42" s="145"/>
      <c r="CF42" s="145"/>
      <c r="CG42" s="145"/>
      <c r="CH42" s="385"/>
      <c r="CJ42" s="385" t="s">
        <v>260</v>
      </c>
      <c r="CM42" s="385" t="s">
        <v>261</v>
      </c>
    </row>
    <row r="43" s="385" customFormat="1" ht="53" customHeight="1" spans="1:91">
      <c r="A43" s="385">
        <v>36</v>
      </c>
      <c r="C43" s="471">
        <v>45203</v>
      </c>
      <c r="D43" s="385">
        <v>20230008587</v>
      </c>
      <c r="E43" s="1026" t="s">
        <v>517</v>
      </c>
      <c r="F43" s="456" t="s">
        <v>518</v>
      </c>
      <c r="G43" s="142" t="s">
        <v>519</v>
      </c>
      <c r="H43" s="125"/>
      <c r="I43" s="385" t="s">
        <v>254</v>
      </c>
      <c r="J43" s="385">
        <v>12</v>
      </c>
      <c r="K43" s="385">
        <v>63.93</v>
      </c>
      <c r="L43" s="385">
        <v>63.93</v>
      </c>
      <c r="M43" s="385">
        <v>20000</v>
      </c>
      <c r="N43" s="469">
        <v>1278600</v>
      </c>
      <c r="O43" s="145">
        <v>19919.88</v>
      </c>
      <c r="Q43" s="385">
        <v>1173027.52</v>
      </c>
      <c r="R43" s="1026" t="s">
        <v>520</v>
      </c>
      <c r="S43" s="471">
        <v>45722</v>
      </c>
      <c r="T43" s="145"/>
      <c r="V43" s="142" t="s">
        <v>521</v>
      </c>
      <c r="W43" s="142" t="s">
        <v>522</v>
      </c>
      <c r="X43" s="145">
        <f>10000</f>
        <v>10000</v>
      </c>
      <c r="Y43" s="440" t="s">
        <v>523</v>
      </c>
      <c r="Z43" s="145">
        <v>90000</v>
      </c>
      <c r="AA43" s="442" t="s">
        <v>342</v>
      </c>
      <c r="AB43" s="145">
        <v>550000</v>
      </c>
      <c r="AC43" s="385" t="s">
        <v>524</v>
      </c>
      <c r="AD43" s="145">
        <v>200000</v>
      </c>
      <c r="AE43" s="385" t="s">
        <v>525</v>
      </c>
      <c r="AF43" s="145">
        <v>390000</v>
      </c>
      <c r="AG43" s="385" t="s">
        <v>526</v>
      </c>
      <c r="AH43" s="385">
        <v>46800</v>
      </c>
      <c r="AI43" s="385" t="s">
        <v>527</v>
      </c>
      <c r="AJ43" s="385">
        <v>-8200</v>
      </c>
      <c r="AL43" s="145">
        <f t="shared" si="10"/>
        <v>1278600</v>
      </c>
      <c r="AO43" s="446">
        <f t="shared" si="12"/>
        <v>0</v>
      </c>
      <c r="AP43" s="385">
        <v>18999613918</v>
      </c>
      <c r="AT43" s="447">
        <f t="shared" si="13"/>
        <v>900</v>
      </c>
      <c r="AU43" s="447"/>
      <c r="AV43" s="145"/>
      <c r="AW43" s="145">
        <v>200</v>
      </c>
      <c r="AX43" s="145"/>
      <c r="AY43" s="145">
        <v>200</v>
      </c>
      <c r="AZ43" s="145">
        <v>200</v>
      </c>
      <c r="BA43" s="145"/>
      <c r="BB43" s="145">
        <v>300</v>
      </c>
      <c r="BC43" s="145">
        <f t="shared" si="14"/>
        <v>1278600</v>
      </c>
      <c r="BD43" s="540">
        <v>0.012</v>
      </c>
      <c r="BE43" s="145"/>
      <c r="BF43" s="145"/>
      <c r="BG43" s="145"/>
      <c r="BH43" s="145"/>
      <c r="BI43" s="145"/>
      <c r="BJ43" s="145"/>
      <c r="BK43" s="145"/>
      <c r="BL43" s="145"/>
      <c r="BM43" s="145">
        <v>1286800</v>
      </c>
      <c r="BN43" s="145"/>
      <c r="BO43" s="145"/>
      <c r="BP43" s="145"/>
      <c r="BQ43" s="145"/>
      <c r="BR43" s="145"/>
      <c r="BS43" s="145"/>
      <c r="BT43" s="145"/>
      <c r="BU43" s="145"/>
      <c r="BV43" s="145"/>
      <c r="BW43" s="145"/>
      <c r="BX43" s="145"/>
      <c r="BY43" s="145"/>
      <c r="BZ43" s="145"/>
      <c r="CA43" s="145"/>
      <c r="CB43" s="145">
        <v>-8200</v>
      </c>
      <c r="CC43" s="145"/>
      <c r="CD43" s="145"/>
      <c r="CE43" s="145"/>
      <c r="CF43" s="145"/>
      <c r="CG43" s="145"/>
      <c r="CH43" s="385"/>
      <c r="CJ43" s="385" t="s">
        <v>260</v>
      </c>
      <c r="CK43" s="385" t="s">
        <v>271</v>
      </c>
      <c r="CM43" s="385" t="s">
        <v>261</v>
      </c>
    </row>
    <row r="44" s="385" customFormat="1" ht="57" customHeight="1" spans="1:91">
      <c r="A44" s="385">
        <v>37</v>
      </c>
      <c r="C44" s="471">
        <v>45201</v>
      </c>
      <c r="D44" s="385">
        <v>20230008471</v>
      </c>
      <c r="E44" s="1026" t="s">
        <v>528</v>
      </c>
      <c r="F44" s="456" t="s">
        <v>529</v>
      </c>
      <c r="G44" s="142" t="s">
        <v>530</v>
      </c>
      <c r="H44" s="125"/>
      <c r="I44" s="385" t="s">
        <v>254</v>
      </c>
      <c r="J44" s="385">
        <v>13</v>
      </c>
      <c r="K44" s="385">
        <v>63.93</v>
      </c>
      <c r="L44" s="385">
        <v>63.93</v>
      </c>
      <c r="M44" s="385">
        <v>20027.58</v>
      </c>
      <c r="N44" s="469">
        <v>1280364</v>
      </c>
      <c r="O44" s="145">
        <v>19827.58</v>
      </c>
      <c r="P44" s="385"/>
      <c r="Q44" s="385">
        <v>1174645.87</v>
      </c>
      <c r="R44" s="1026" t="s">
        <v>531</v>
      </c>
      <c r="S44" s="471">
        <v>45722</v>
      </c>
      <c r="T44" s="145"/>
      <c r="V44" s="142" t="s">
        <v>532</v>
      </c>
      <c r="W44" s="142" t="s">
        <v>533</v>
      </c>
      <c r="X44" s="145">
        <v>5000</v>
      </c>
      <c r="Y44" s="440">
        <v>44780</v>
      </c>
      <c r="Z44" s="145">
        <v>95000</v>
      </c>
      <c r="AA44" s="442" t="s">
        <v>342</v>
      </c>
      <c r="AB44" s="145">
        <v>548575</v>
      </c>
      <c r="AC44" s="385" t="s">
        <v>314</v>
      </c>
      <c r="AD44" s="145">
        <v>640000</v>
      </c>
      <c r="AE44" s="385" t="s">
        <v>534</v>
      </c>
      <c r="AF44" s="385">
        <v>-8211</v>
      </c>
      <c r="AL44" s="145">
        <f t="shared" si="10"/>
        <v>1280364</v>
      </c>
      <c r="AO44" s="446">
        <f t="shared" ref="AO44:AO50" si="15">N44-AL44</f>
        <v>0</v>
      </c>
      <c r="AP44" s="385">
        <v>15299373632</v>
      </c>
      <c r="AT44" s="447">
        <f t="shared" si="13"/>
        <v>500</v>
      </c>
      <c r="AU44" s="447"/>
      <c r="AV44" s="145"/>
      <c r="AW44" s="145">
        <v>200</v>
      </c>
      <c r="AX44" s="145"/>
      <c r="AY44" s="145"/>
      <c r="AZ44" s="145"/>
      <c r="BA44" s="145"/>
      <c r="BB44" s="145">
        <v>300</v>
      </c>
      <c r="BC44" s="145">
        <f t="shared" si="14"/>
        <v>1280364</v>
      </c>
      <c r="BD44" s="540">
        <v>0.0143</v>
      </c>
      <c r="BE44" s="145"/>
      <c r="BF44" s="145"/>
      <c r="BG44" s="145"/>
      <c r="BH44" s="145"/>
      <c r="BI44" s="145"/>
      <c r="BJ44" s="145">
        <v>1288575</v>
      </c>
      <c r="BK44" s="145"/>
      <c r="BL44" s="145"/>
      <c r="BM44" s="145"/>
      <c r="BN44" s="145"/>
      <c r="BO44" s="145"/>
      <c r="BP44" s="145"/>
      <c r="BQ44" s="145"/>
      <c r="BR44" s="145"/>
      <c r="BS44" s="145"/>
      <c r="BT44" s="145"/>
      <c r="BU44" s="145"/>
      <c r="BV44" s="145"/>
      <c r="BW44" s="145"/>
      <c r="BX44" s="145"/>
      <c r="BY44" s="145"/>
      <c r="BZ44" s="145"/>
      <c r="CA44" s="145"/>
      <c r="CB44" s="145">
        <v>-8211</v>
      </c>
      <c r="CC44" s="145"/>
      <c r="CD44" s="145"/>
      <c r="CE44" s="145"/>
      <c r="CF44" s="145"/>
      <c r="CG44" s="145"/>
      <c r="CH44" s="385"/>
      <c r="CJ44" s="385" t="s">
        <v>260</v>
      </c>
      <c r="CK44" s="385" t="s">
        <v>271</v>
      </c>
      <c r="CM44" s="385" t="s">
        <v>261</v>
      </c>
    </row>
    <row r="45" s="385" customFormat="1" customHeight="1" spans="1:91">
      <c r="A45" s="385">
        <v>38</v>
      </c>
      <c r="B45" s="385"/>
      <c r="C45" s="471">
        <v>45618</v>
      </c>
      <c r="D45" s="385">
        <v>20240007405</v>
      </c>
      <c r="E45" s="1026" t="s">
        <v>535</v>
      </c>
      <c r="F45" s="456" t="s">
        <v>536</v>
      </c>
      <c r="G45" s="142" t="s">
        <v>537</v>
      </c>
      <c r="H45" s="125"/>
      <c r="I45" s="385" t="s">
        <v>254</v>
      </c>
      <c r="J45" s="385">
        <v>14</v>
      </c>
      <c r="K45" s="385">
        <v>112.41</v>
      </c>
      <c r="L45" s="385">
        <v>112.41</v>
      </c>
      <c r="M45" s="385">
        <v>17347.21</v>
      </c>
      <c r="N45" s="469">
        <v>1950000</v>
      </c>
      <c r="O45" s="145">
        <v>16848</v>
      </c>
      <c r="Q45" s="385">
        <v>1788990.83</v>
      </c>
      <c r="R45" s="1026" t="s">
        <v>538</v>
      </c>
      <c r="S45" s="471">
        <v>45722</v>
      </c>
      <c r="T45" s="145"/>
      <c r="U45" s="146"/>
      <c r="W45" s="142" t="s">
        <v>539</v>
      </c>
      <c r="X45" s="145">
        <f>30000-30000</f>
        <v>0</v>
      </c>
      <c r="Y45" s="440">
        <v>45561</v>
      </c>
      <c r="Z45" s="145">
        <v>20000</v>
      </c>
      <c r="AA45" s="146" t="s">
        <v>540</v>
      </c>
      <c r="AB45" s="145">
        <v>1090000</v>
      </c>
      <c r="AC45" s="146" t="s">
        <v>504</v>
      </c>
      <c r="AD45" s="145">
        <v>840000</v>
      </c>
      <c r="AE45" s="146" t="s">
        <v>541</v>
      </c>
      <c r="AL45" s="145">
        <f t="shared" si="10"/>
        <v>1950000</v>
      </c>
      <c r="AO45" s="446">
        <f t="shared" si="15"/>
        <v>0</v>
      </c>
      <c r="AP45" s="385">
        <v>13920917173</v>
      </c>
      <c r="AT45" s="447">
        <f t="shared" si="13"/>
        <v>0</v>
      </c>
      <c r="AU45" s="142"/>
      <c r="BC45" s="145">
        <f t="shared" si="14"/>
        <v>1950000</v>
      </c>
      <c r="BD45" s="140">
        <f>1%+0.18%+0.25%+0.03%</f>
        <v>0.0146</v>
      </c>
      <c r="BV45" s="385">
        <v>1110000</v>
      </c>
      <c r="BW45" s="385">
        <v>840000</v>
      </c>
      <c r="CJ45" s="385" t="s">
        <v>260</v>
      </c>
      <c r="CM45" s="385" t="s">
        <v>261</v>
      </c>
    </row>
    <row r="46" s="385" customFormat="1" ht="38" customHeight="1" spans="1:91">
      <c r="A46" s="385">
        <v>39</v>
      </c>
      <c r="C46" s="471">
        <v>45566</v>
      </c>
      <c r="D46" s="385">
        <v>20240005606</v>
      </c>
      <c r="E46" s="1026" t="s">
        <v>542</v>
      </c>
      <c r="F46" s="456" t="s">
        <v>543</v>
      </c>
      <c r="G46" s="142" t="s">
        <v>544</v>
      </c>
      <c r="H46" s="125"/>
      <c r="I46" s="385" t="s">
        <v>254</v>
      </c>
      <c r="J46" s="385">
        <v>15</v>
      </c>
      <c r="K46" s="385">
        <v>67.42</v>
      </c>
      <c r="L46" s="385">
        <v>67.42</v>
      </c>
      <c r="M46" s="385">
        <v>17479.73</v>
      </c>
      <c r="N46" s="469">
        <v>1178483</v>
      </c>
      <c r="O46" s="145">
        <v>17470.41</v>
      </c>
      <c r="Q46" s="385">
        <v>1081177.06</v>
      </c>
      <c r="R46" s="1026" t="s">
        <v>545</v>
      </c>
      <c r="S46" s="471">
        <v>45590</v>
      </c>
      <c r="T46" s="145"/>
      <c r="U46" s="146"/>
      <c r="V46" s="385"/>
      <c r="W46" s="142" t="s">
        <v>546</v>
      </c>
      <c r="X46" s="385">
        <v>20000</v>
      </c>
      <c r="Y46" s="440" t="s">
        <v>547</v>
      </c>
      <c r="Z46" s="145">
        <v>376000</v>
      </c>
      <c r="AA46" s="146">
        <v>45553</v>
      </c>
      <c r="AB46" s="145">
        <v>590000</v>
      </c>
      <c r="AC46" s="146" t="s">
        <v>548</v>
      </c>
      <c r="AD46" s="145">
        <v>200000</v>
      </c>
      <c r="AE46" s="146" t="s">
        <v>549</v>
      </c>
      <c r="AF46" s="145">
        <v>-7517</v>
      </c>
      <c r="AG46" s="146"/>
      <c r="AL46" s="145">
        <f t="shared" si="10"/>
        <v>1178483</v>
      </c>
      <c r="AO46" s="446">
        <f t="shared" si="15"/>
        <v>0</v>
      </c>
      <c r="AP46" s="385">
        <v>15739818996</v>
      </c>
      <c r="AT46" s="447">
        <f t="shared" si="13"/>
        <v>200</v>
      </c>
      <c r="AU46" s="447"/>
      <c r="AV46" s="145">
        <v>200</v>
      </c>
      <c r="AW46" s="145"/>
      <c r="AX46" s="145"/>
      <c r="AY46" s="145"/>
      <c r="AZ46" s="145"/>
      <c r="BA46" s="145"/>
      <c r="BB46" s="145"/>
      <c r="BC46" s="145">
        <f t="shared" si="14"/>
        <v>1178483</v>
      </c>
      <c r="BD46" s="540">
        <v>0.0125</v>
      </c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>
        <v>1178483</v>
      </c>
      <c r="BX46" s="145"/>
      <c r="BY46" s="145"/>
      <c r="BZ46" s="145"/>
      <c r="CA46" s="145"/>
      <c r="CB46" s="145"/>
      <c r="CC46" s="145"/>
      <c r="CD46" s="145"/>
      <c r="CE46" s="145"/>
      <c r="CF46" s="145"/>
      <c r="CG46" s="145"/>
      <c r="CH46" s="385"/>
      <c r="CJ46" s="385" t="s">
        <v>260</v>
      </c>
      <c r="CM46" s="385" t="s">
        <v>261</v>
      </c>
    </row>
    <row r="47" s="385" customFormat="1" customHeight="1" spans="1:91">
      <c r="A47" s="385">
        <v>40</v>
      </c>
      <c r="C47" s="471">
        <v>45386</v>
      </c>
      <c r="D47" s="385">
        <v>20240001898</v>
      </c>
      <c r="E47" s="1026" t="s">
        <v>550</v>
      </c>
      <c r="F47" s="456" t="s">
        <v>551</v>
      </c>
      <c r="G47" s="385" t="s">
        <v>552</v>
      </c>
      <c r="H47" s="125"/>
      <c r="I47" s="385" t="s">
        <v>254</v>
      </c>
      <c r="J47" s="385">
        <v>16</v>
      </c>
      <c r="K47" s="385">
        <v>110.21</v>
      </c>
      <c r="L47" s="385">
        <v>110.21</v>
      </c>
      <c r="M47" s="385">
        <v>17100</v>
      </c>
      <c r="N47" s="469">
        <v>1884591</v>
      </c>
      <c r="O47" s="145">
        <v>17100</v>
      </c>
      <c r="P47" s="385"/>
      <c r="Q47" s="385">
        <v>1728982.57</v>
      </c>
      <c r="R47" s="1026" t="s">
        <v>553</v>
      </c>
      <c r="S47" s="471">
        <v>45730</v>
      </c>
      <c r="T47" s="145"/>
      <c r="W47" s="385" t="s">
        <v>546</v>
      </c>
      <c r="X47" s="145">
        <v>100000</v>
      </c>
      <c r="Y47" s="440" t="s">
        <v>526</v>
      </c>
      <c r="Z47" s="145">
        <v>290000</v>
      </c>
      <c r="AA47" s="385" t="s">
        <v>554</v>
      </c>
      <c r="AB47" s="385">
        <v>810000</v>
      </c>
      <c r="AC47" s="442" t="s">
        <v>554</v>
      </c>
      <c r="AD47" s="385">
        <v>6732</v>
      </c>
      <c r="AE47" s="385" t="s">
        <v>555</v>
      </c>
      <c r="AF47" s="145">
        <v>690000</v>
      </c>
      <c r="AG47" s="385" t="s">
        <v>556</v>
      </c>
      <c r="AH47" s="385">
        <v>-12141</v>
      </c>
      <c r="AL47" s="145">
        <f t="shared" si="10"/>
        <v>1884591</v>
      </c>
      <c r="AO47" s="446">
        <f t="shared" ref="AO46:AO53" si="16">N47-AL47</f>
        <v>0</v>
      </c>
      <c r="AP47" s="385">
        <v>15199929062</v>
      </c>
      <c r="AT47" s="447">
        <f t="shared" si="13"/>
        <v>0</v>
      </c>
      <c r="AU47" s="142"/>
      <c r="BC47" s="145">
        <f t="shared" si="14"/>
        <v>1884591</v>
      </c>
      <c r="BD47" s="140">
        <f>1%+0.2%</f>
        <v>0.012</v>
      </c>
      <c r="BO47" s="385">
        <v>1896732</v>
      </c>
      <c r="CB47" s="385">
        <v>-12141</v>
      </c>
      <c r="CJ47" s="385" t="s">
        <v>260</v>
      </c>
      <c r="CK47" s="385" t="s">
        <v>271</v>
      </c>
      <c r="CM47" s="385" t="s">
        <v>261</v>
      </c>
    </row>
    <row r="48" s="385" customFormat="1" customHeight="1" spans="1:91">
      <c r="A48" s="385">
        <v>41</v>
      </c>
      <c r="C48" s="471">
        <v>45203</v>
      </c>
      <c r="D48" s="385">
        <v>20230008599</v>
      </c>
      <c r="E48" s="1026" t="s">
        <v>557</v>
      </c>
      <c r="F48" s="456" t="s">
        <v>558</v>
      </c>
      <c r="G48" s="385" t="s">
        <v>559</v>
      </c>
      <c r="H48" s="125"/>
      <c r="I48" s="385" t="s">
        <v>254</v>
      </c>
      <c r="J48" s="385">
        <v>17</v>
      </c>
      <c r="K48" s="385">
        <v>50.88</v>
      </c>
      <c r="L48" s="385">
        <v>50.88</v>
      </c>
      <c r="M48" s="385">
        <v>17965.24</v>
      </c>
      <c r="N48" s="594">
        <v>914071</v>
      </c>
      <c r="O48" s="145">
        <v>17813.85</v>
      </c>
      <c r="P48" s="385"/>
      <c r="Q48" s="385">
        <v>838597.25</v>
      </c>
      <c r="R48" s="1026" t="s">
        <v>560</v>
      </c>
      <c r="S48" s="471">
        <v>45730</v>
      </c>
      <c r="T48" s="145"/>
      <c r="W48" s="385" t="s">
        <v>561</v>
      </c>
      <c r="X48" s="145">
        <v>50000</v>
      </c>
      <c r="Y48" s="440" t="s">
        <v>513</v>
      </c>
      <c r="Z48" s="145">
        <f>860000+10000</f>
        <v>870000</v>
      </c>
      <c r="AA48" s="385" t="s">
        <v>447</v>
      </c>
      <c r="AB48" s="385">
        <v>-5928</v>
      </c>
      <c r="AC48" s="442"/>
      <c r="AL48" s="145">
        <f t="shared" si="10"/>
        <v>914072</v>
      </c>
      <c r="AO48" s="446">
        <f t="shared" si="15"/>
        <v>-1</v>
      </c>
      <c r="AP48" s="385">
        <v>18299830920</v>
      </c>
      <c r="AT48" s="447">
        <f t="shared" si="13"/>
        <v>0</v>
      </c>
      <c r="AU48" s="142"/>
      <c r="BC48" s="145">
        <f t="shared" si="14"/>
        <v>914072</v>
      </c>
      <c r="BD48" s="140">
        <f>1%+0.18%+0.25%</f>
        <v>0.0143</v>
      </c>
      <c r="BH48" s="385">
        <v>920000</v>
      </c>
      <c r="CB48" s="385">
        <v>-5928</v>
      </c>
      <c r="CJ48" s="385" t="s">
        <v>260</v>
      </c>
      <c r="CK48" s="385" t="s">
        <v>271</v>
      </c>
      <c r="CM48" s="385" t="s">
        <v>261</v>
      </c>
    </row>
    <row r="49" s="385" customFormat="1" customHeight="1" spans="1:91">
      <c r="A49" s="385">
        <v>42</v>
      </c>
      <c r="C49" s="471">
        <v>45203</v>
      </c>
      <c r="D49" s="385">
        <v>20230008608</v>
      </c>
      <c r="E49" s="1026" t="s">
        <v>562</v>
      </c>
      <c r="F49" s="456" t="s">
        <v>563</v>
      </c>
      <c r="G49" s="385" t="s">
        <v>564</v>
      </c>
      <c r="H49" s="125"/>
      <c r="I49" s="385" t="s">
        <v>254</v>
      </c>
      <c r="J49" s="385">
        <v>18</v>
      </c>
      <c r="K49" s="385">
        <v>50.88</v>
      </c>
      <c r="L49" s="385">
        <v>50.88</v>
      </c>
      <c r="M49" s="385">
        <v>18121.46</v>
      </c>
      <c r="N49" s="469">
        <v>922020</v>
      </c>
      <c r="O49" s="145">
        <v>17998.45</v>
      </c>
      <c r="Q49" s="385">
        <v>845889.91</v>
      </c>
      <c r="R49" s="1026" t="s">
        <v>565</v>
      </c>
      <c r="S49" s="471">
        <v>45730</v>
      </c>
      <c r="T49" s="145"/>
      <c r="W49" s="385" t="s">
        <v>561</v>
      </c>
      <c r="X49" s="145">
        <v>50000</v>
      </c>
      <c r="Y49" s="440" t="s">
        <v>513</v>
      </c>
      <c r="Z49" s="145">
        <v>418000</v>
      </c>
      <c r="AA49" s="385" t="s">
        <v>447</v>
      </c>
      <c r="AB49" s="145">
        <v>460000</v>
      </c>
      <c r="AC49" s="385" t="s">
        <v>566</v>
      </c>
      <c r="AD49" s="385">
        <v>-5980</v>
      </c>
      <c r="AL49" s="145">
        <f t="shared" si="10"/>
        <v>922020</v>
      </c>
      <c r="AO49" s="446">
        <f t="shared" si="15"/>
        <v>0</v>
      </c>
      <c r="AP49" s="385">
        <v>13667531562</v>
      </c>
      <c r="AT49" s="447">
        <f t="shared" si="13"/>
        <v>0</v>
      </c>
      <c r="AU49" s="142"/>
      <c r="BC49" s="145">
        <f t="shared" si="14"/>
        <v>922020</v>
      </c>
      <c r="BD49" s="140">
        <f>1%+0.18%+0.25%</f>
        <v>0.0143</v>
      </c>
      <c r="BH49" s="385">
        <v>468000</v>
      </c>
      <c r="BK49" s="385">
        <v>460000</v>
      </c>
      <c r="CB49" s="385">
        <v>-5980</v>
      </c>
      <c r="CJ49" s="385" t="s">
        <v>260</v>
      </c>
      <c r="CK49" s="385" t="s">
        <v>271</v>
      </c>
      <c r="CM49" s="385" t="s">
        <v>261</v>
      </c>
    </row>
    <row r="50" s="577" customFormat="1" customHeight="1" spans="1:91">
      <c r="A50" s="577">
        <v>43</v>
      </c>
      <c r="B50" s="577"/>
      <c r="C50" s="595">
        <v>45935</v>
      </c>
      <c r="D50" s="577">
        <v>20250005100</v>
      </c>
      <c r="E50" s="1029" t="s">
        <v>567</v>
      </c>
      <c r="F50" s="596" t="s">
        <v>568</v>
      </c>
      <c r="G50" s="577" t="s">
        <v>569</v>
      </c>
      <c r="H50" s="155"/>
      <c r="I50" s="577" t="s">
        <v>254</v>
      </c>
      <c r="J50" s="577">
        <v>19</v>
      </c>
      <c r="K50" s="577">
        <v>102.97</v>
      </c>
      <c r="L50" s="577">
        <v>102.97</v>
      </c>
      <c r="M50" s="577">
        <v>16500</v>
      </c>
      <c r="N50" s="597">
        <v>1699005</v>
      </c>
      <c r="O50" s="598">
        <v>16500</v>
      </c>
      <c r="P50" s="577"/>
      <c r="Q50" s="577">
        <v>1558720.18</v>
      </c>
      <c r="R50" s="1029" t="s">
        <v>570</v>
      </c>
      <c r="S50" s="599">
        <v>45939</v>
      </c>
      <c r="T50" s="598"/>
      <c r="U50" s="599"/>
      <c r="W50" s="577" t="s">
        <v>571</v>
      </c>
      <c r="X50" s="598">
        <f>100000+96000</f>
        <v>196000</v>
      </c>
      <c r="Y50" s="599" t="s">
        <v>572</v>
      </c>
      <c r="Z50" s="598">
        <v>663005</v>
      </c>
      <c r="AA50" s="599">
        <v>45935</v>
      </c>
      <c r="AB50" s="598">
        <v>120000</v>
      </c>
      <c r="AC50" s="599">
        <v>45990</v>
      </c>
      <c r="AD50" s="598">
        <v>200000</v>
      </c>
      <c r="AE50" s="599">
        <v>45994</v>
      </c>
      <c r="AF50" s="577">
        <v>100000</v>
      </c>
      <c r="AG50" s="577" t="s">
        <v>573</v>
      </c>
      <c r="AH50" s="577">
        <v>420000</v>
      </c>
      <c r="AI50" s="599">
        <v>46006</v>
      </c>
      <c r="AL50" s="598">
        <f t="shared" si="10"/>
        <v>1699005</v>
      </c>
      <c r="AO50" s="446">
        <f t="shared" si="15"/>
        <v>0</v>
      </c>
      <c r="AQ50" s="577" t="s">
        <v>574</v>
      </c>
      <c r="AT50" s="600">
        <f t="shared" si="13"/>
        <v>0</v>
      </c>
      <c r="AU50" s="601"/>
      <c r="BC50" s="598">
        <f t="shared" si="14"/>
        <v>1699005</v>
      </c>
      <c r="BD50" s="602">
        <f>1%+0.18%+0.2%+0.03%</f>
        <v>0.0141</v>
      </c>
      <c r="CD50" s="577">
        <v>859005</v>
      </c>
      <c r="CE50" s="577">
        <v>840000</v>
      </c>
      <c r="CJ50" s="577" t="s">
        <v>575</v>
      </c>
      <c r="CM50" s="577" t="s">
        <v>576</v>
      </c>
    </row>
    <row r="51" s="385" customFormat="1" customHeight="1" spans="1:91">
      <c r="A51" s="385">
        <v>44</v>
      </c>
      <c r="C51" s="471">
        <v>45533</v>
      </c>
      <c r="D51" s="385">
        <v>20240004964</v>
      </c>
      <c r="F51" s="456" t="s">
        <v>577</v>
      </c>
      <c r="G51" s="385" t="s">
        <v>578</v>
      </c>
      <c r="H51" s="125"/>
      <c r="I51" s="385" t="s">
        <v>361</v>
      </c>
      <c r="J51" s="385">
        <v>1</v>
      </c>
      <c r="K51" s="385">
        <v>124.63</v>
      </c>
      <c r="L51" s="385">
        <v>124.63</v>
      </c>
      <c r="M51" s="385">
        <v>9538.95</v>
      </c>
      <c r="N51" s="469">
        <v>1188840</v>
      </c>
      <c r="O51" s="145">
        <v>9538.95</v>
      </c>
      <c r="Q51" s="442">
        <v>1090678.9</v>
      </c>
      <c r="R51" s="1026" t="s">
        <v>579</v>
      </c>
      <c r="S51" s="471">
        <v>45730</v>
      </c>
      <c r="T51" s="145"/>
      <c r="U51" s="385"/>
      <c r="X51" s="145">
        <v>600000</v>
      </c>
      <c r="Y51" s="440" t="s">
        <v>503</v>
      </c>
      <c r="Z51" s="145">
        <v>200000</v>
      </c>
      <c r="AA51" s="442" t="s">
        <v>580</v>
      </c>
      <c r="AB51" s="145">
        <v>400000</v>
      </c>
      <c r="AC51" s="385" t="s">
        <v>581</v>
      </c>
      <c r="AD51" s="385">
        <v>-11160</v>
      </c>
      <c r="AL51" s="145">
        <f t="shared" si="10"/>
        <v>1188840</v>
      </c>
      <c r="AO51" s="446">
        <f t="shared" si="16"/>
        <v>0</v>
      </c>
      <c r="AP51" s="385">
        <v>15276156276</v>
      </c>
      <c r="AQ51" s="385" t="s">
        <v>386</v>
      </c>
      <c r="AT51" s="447">
        <f t="shared" si="13"/>
        <v>0</v>
      </c>
      <c r="AU51" s="142"/>
      <c r="BC51" s="145">
        <f t="shared" si="14"/>
        <v>1188840</v>
      </c>
      <c r="BD51" s="540">
        <v>0.012</v>
      </c>
      <c r="BR51" s="385">
        <v>800000</v>
      </c>
      <c r="BS51" s="385">
        <v>400000</v>
      </c>
      <c r="CB51" s="385">
        <v>-11160</v>
      </c>
      <c r="CJ51" s="385" t="s">
        <v>260</v>
      </c>
      <c r="CM51" s="385" t="s">
        <v>261</v>
      </c>
    </row>
    <row r="52" s="385" customFormat="1" customHeight="1" spans="1:91">
      <c r="A52" s="385">
        <v>45</v>
      </c>
      <c r="C52" s="471">
        <v>45530</v>
      </c>
      <c r="D52" s="385">
        <v>20240004848</v>
      </c>
      <c r="F52" s="456" t="s">
        <v>582</v>
      </c>
      <c r="G52" s="385" t="s">
        <v>583</v>
      </c>
      <c r="H52" s="125"/>
      <c r="I52" s="385" t="s">
        <v>361</v>
      </c>
      <c r="J52" s="385">
        <v>2</v>
      </c>
      <c r="K52" s="385">
        <v>123.99</v>
      </c>
      <c r="L52" s="385">
        <v>123.99</v>
      </c>
      <c r="M52" s="385">
        <v>8950</v>
      </c>
      <c r="N52" s="469">
        <v>1109711</v>
      </c>
      <c r="O52" s="145">
        <v>8928.62</v>
      </c>
      <c r="Q52" s="385">
        <v>1018083.49</v>
      </c>
      <c r="R52" s="1026" t="s">
        <v>584</v>
      </c>
      <c r="S52" s="471">
        <v>45730</v>
      </c>
      <c r="T52" s="145"/>
      <c r="U52" s="146"/>
      <c r="W52" s="385" t="s">
        <v>267</v>
      </c>
      <c r="X52" s="145">
        <v>10000</v>
      </c>
      <c r="Y52" s="440" t="s">
        <v>286</v>
      </c>
      <c r="Z52" s="145">
        <v>40000</v>
      </c>
      <c r="AA52" s="385" t="s">
        <v>585</v>
      </c>
      <c r="AB52" s="145">
        <f>1000+50000+147000+22000</f>
        <v>220000</v>
      </c>
      <c r="AC52" s="442"/>
      <c r="AD52" s="145">
        <v>190093</v>
      </c>
      <c r="AE52" s="385" t="s">
        <v>357</v>
      </c>
      <c r="AF52" s="145">
        <v>560000</v>
      </c>
      <c r="AG52" s="146">
        <v>45562</v>
      </c>
      <c r="AH52" s="145">
        <v>100000</v>
      </c>
      <c r="AI52" s="146" t="s">
        <v>586</v>
      </c>
      <c r="AJ52" s="385">
        <v>-10382</v>
      </c>
      <c r="AL52" s="145">
        <f t="shared" si="10"/>
        <v>1109711</v>
      </c>
      <c r="AO52" s="446">
        <f t="shared" si="16"/>
        <v>0</v>
      </c>
      <c r="AP52" s="385">
        <v>15276287083</v>
      </c>
      <c r="AT52" s="447">
        <f t="shared" si="13"/>
        <v>0</v>
      </c>
      <c r="AU52" s="142"/>
      <c r="BC52" s="145">
        <f t="shared" si="14"/>
        <v>1109711</v>
      </c>
      <c r="BD52" s="140">
        <f>1%+0.14%</f>
        <v>0.0114</v>
      </c>
      <c r="BT52" s="385">
        <v>1120093</v>
      </c>
      <c r="CB52" s="385">
        <v>-10382</v>
      </c>
      <c r="CJ52" s="385" t="s">
        <v>260</v>
      </c>
      <c r="CM52" s="385" t="s">
        <v>261</v>
      </c>
    </row>
    <row r="53" s="385" customFormat="1" ht="48" customHeight="1" spans="1:91">
      <c r="A53" s="385">
        <v>46</v>
      </c>
      <c r="B53" s="385"/>
      <c r="C53" s="471">
        <v>45587</v>
      </c>
      <c r="D53" s="385">
        <v>20240006221</v>
      </c>
      <c r="F53" s="456" t="s">
        <v>587</v>
      </c>
      <c r="G53" s="142" t="s">
        <v>588</v>
      </c>
      <c r="H53" s="125"/>
      <c r="I53" s="385" t="s">
        <v>361</v>
      </c>
      <c r="J53" s="385">
        <v>3</v>
      </c>
      <c r="K53" s="385">
        <v>119.5</v>
      </c>
      <c r="L53" s="385">
        <v>119.5</v>
      </c>
      <c r="M53" s="385">
        <v>9119.55</v>
      </c>
      <c r="N53" s="469">
        <v>1089787</v>
      </c>
      <c r="O53" s="145">
        <v>9000</v>
      </c>
      <c r="P53" s="385"/>
      <c r="Q53" s="385">
        <v>999804.59</v>
      </c>
      <c r="R53" s="1026" t="s">
        <v>589</v>
      </c>
      <c r="S53" s="471">
        <v>45705</v>
      </c>
      <c r="T53" s="145"/>
      <c r="U53" s="385"/>
      <c r="W53" s="142" t="s">
        <v>590</v>
      </c>
      <c r="X53" s="145">
        <f>20000-20000</f>
        <v>0</v>
      </c>
      <c r="Y53" s="440" t="s">
        <v>503</v>
      </c>
      <c r="Z53" s="145">
        <v>50000</v>
      </c>
      <c r="AA53" s="385" t="s">
        <v>591</v>
      </c>
      <c r="AB53" s="385">
        <v>500000</v>
      </c>
      <c r="AC53" s="442" t="s">
        <v>592</v>
      </c>
      <c r="AD53" s="145">
        <v>550000</v>
      </c>
      <c r="AE53" s="385" t="s">
        <v>385</v>
      </c>
      <c r="AF53" s="385">
        <v>-10213</v>
      </c>
      <c r="AL53" s="145">
        <f t="shared" si="10"/>
        <v>1089787</v>
      </c>
      <c r="AO53" s="446">
        <f t="shared" si="16"/>
        <v>0</v>
      </c>
      <c r="AP53" s="385">
        <v>18299789646</v>
      </c>
      <c r="AQ53" s="385" t="s">
        <v>386</v>
      </c>
      <c r="AT53" s="447">
        <f t="shared" si="13"/>
        <v>0</v>
      </c>
      <c r="AU53" s="142"/>
      <c r="BC53" s="145">
        <f t="shared" si="14"/>
        <v>1089787</v>
      </c>
      <c r="BD53" s="140">
        <f>1%+0.2%+0.03%</f>
        <v>0.0123</v>
      </c>
      <c r="BU53" s="385">
        <v>1089787</v>
      </c>
      <c r="CJ53" s="385" t="s">
        <v>260</v>
      </c>
      <c r="CM53" s="385" t="s">
        <v>261</v>
      </c>
    </row>
    <row r="54" s="385" customFormat="1" customHeight="1" spans="1:91">
      <c r="A54" s="385">
        <v>47</v>
      </c>
      <c r="C54" s="471">
        <v>45291</v>
      </c>
      <c r="D54" s="385">
        <v>20230010720</v>
      </c>
      <c r="E54" s="1026" t="s">
        <v>593</v>
      </c>
      <c r="F54" s="456" t="s">
        <v>594</v>
      </c>
      <c r="G54" s="385" t="s">
        <v>595</v>
      </c>
      <c r="H54" s="125"/>
      <c r="I54" s="385" t="s">
        <v>361</v>
      </c>
      <c r="J54" s="385">
        <v>4</v>
      </c>
      <c r="K54" s="385">
        <v>78.72</v>
      </c>
      <c r="L54" s="385">
        <v>78.72</v>
      </c>
      <c r="M54" s="385">
        <v>10000</v>
      </c>
      <c r="N54" s="469">
        <v>787200</v>
      </c>
      <c r="O54" s="145">
        <v>9725.34</v>
      </c>
      <c r="Q54" s="385">
        <v>722201.83</v>
      </c>
      <c r="R54" s="1026" t="s">
        <v>596</v>
      </c>
      <c r="S54" s="471">
        <v>45730</v>
      </c>
      <c r="T54" s="145"/>
      <c r="W54" s="385" t="s">
        <v>294</v>
      </c>
      <c r="X54" s="145">
        <v>10000</v>
      </c>
      <c r="Y54" s="440" t="s">
        <v>597</v>
      </c>
      <c r="Z54" s="145">
        <v>90000</v>
      </c>
      <c r="AA54" s="442" t="s">
        <v>598</v>
      </c>
      <c r="AB54" s="145">
        <f>9200+295400</f>
        <v>304600</v>
      </c>
      <c r="AC54" s="385" t="s">
        <v>566</v>
      </c>
      <c r="AD54" s="145">
        <v>390000</v>
      </c>
      <c r="AE54" s="385" t="s">
        <v>599</v>
      </c>
      <c r="AF54" s="385">
        <v>-7400</v>
      </c>
      <c r="AL54" s="145">
        <f t="shared" ref="AL54:AL72" si="17">X54+Z54+AB54+AD54+AF54+AH54+AJ54</f>
        <v>787200</v>
      </c>
      <c r="AO54" s="446">
        <f t="shared" ref="AO54:AO61" si="18">N54-AL54</f>
        <v>0</v>
      </c>
      <c r="AP54" s="385">
        <v>18997668556</v>
      </c>
      <c r="AT54" s="447">
        <f t="shared" si="13"/>
        <v>0</v>
      </c>
      <c r="AU54" s="142"/>
      <c r="BC54" s="145">
        <f t="shared" si="14"/>
        <v>787200</v>
      </c>
      <c r="BD54" s="140">
        <f>0.8%+0.13%+0.14%</f>
        <v>0.0107</v>
      </c>
      <c r="BK54" s="385">
        <v>404600</v>
      </c>
      <c r="BL54" s="385">
        <v>390000</v>
      </c>
      <c r="CB54" s="385">
        <v>-7400</v>
      </c>
      <c r="CJ54" s="385" t="s">
        <v>260</v>
      </c>
      <c r="CK54" s="385" t="s">
        <v>271</v>
      </c>
      <c r="CM54" s="385" t="s">
        <v>261</v>
      </c>
    </row>
    <row r="55" s="385" customFormat="1" customHeight="1" spans="1:91">
      <c r="A55" s="385">
        <v>48</v>
      </c>
      <c r="C55" s="471">
        <v>45291</v>
      </c>
      <c r="D55" s="385">
        <v>20230010721</v>
      </c>
      <c r="E55" s="1026" t="s">
        <v>593</v>
      </c>
      <c r="F55" s="456" t="s">
        <v>594</v>
      </c>
      <c r="G55" s="385" t="s">
        <v>595</v>
      </c>
      <c r="H55" s="125"/>
      <c r="I55" s="385" t="s">
        <v>361</v>
      </c>
      <c r="J55" s="385">
        <v>5</v>
      </c>
      <c r="K55" s="385">
        <v>78.72</v>
      </c>
      <c r="L55" s="385">
        <v>78.72</v>
      </c>
      <c r="M55" s="385">
        <v>10000</v>
      </c>
      <c r="N55" s="469">
        <v>787200</v>
      </c>
      <c r="O55" s="145">
        <v>9645.63</v>
      </c>
      <c r="Q55" s="385">
        <v>722201.83</v>
      </c>
      <c r="R55" s="1026" t="s">
        <v>600</v>
      </c>
      <c r="S55" s="471">
        <v>45730</v>
      </c>
      <c r="T55" s="145"/>
      <c r="W55" s="385" t="s">
        <v>294</v>
      </c>
      <c r="X55" s="145">
        <v>10000</v>
      </c>
      <c r="Y55" s="440" t="s">
        <v>597</v>
      </c>
      <c r="Z55" s="145">
        <v>90000</v>
      </c>
      <c r="AA55" s="442" t="s">
        <v>598</v>
      </c>
      <c r="AB55" s="145">
        <v>304600</v>
      </c>
      <c r="AC55" s="385" t="s">
        <v>566</v>
      </c>
      <c r="AD55" s="145">
        <v>390000</v>
      </c>
      <c r="AE55" s="385" t="s">
        <v>599</v>
      </c>
      <c r="AF55" s="385">
        <v>-7400</v>
      </c>
      <c r="AL55" s="145">
        <f t="shared" si="17"/>
        <v>787200</v>
      </c>
      <c r="AO55" s="446">
        <f t="shared" si="18"/>
        <v>0</v>
      </c>
      <c r="AP55" s="385">
        <v>18997668556</v>
      </c>
      <c r="AT55" s="447">
        <f t="shared" si="13"/>
        <v>0</v>
      </c>
      <c r="AU55" s="142"/>
      <c r="BC55" s="145">
        <f t="shared" si="14"/>
        <v>787200</v>
      </c>
      <c r="BD55" s="140">
        <f>0.8%+0.13%+0.14%</f>
        <v>0.0107</v>
      </c>
      <c r="BK55" s="385">
        <v>404600</v>
      </c>
      <c r="BL55" s="385">
        <v>390000</v>
      </c>
      <c r="CB55" s="385">
        <v>-7400</v>
      </c>
      <c r="CJ55" s="385" t="s">
        <v>260</v>
      </c>
      <c r="CK55" s="385" t="s">
        <v>271</v>
      </c>
      <c r="CM55" s="385" t="s">
        <v>261</v>
      </c>
    </row>
    <row r="56" s="385" customFormat="1" customHeight="1" spans="1:91">
      <c r="A56" s="385">
        <v>49</v>
      </c>
      <c r="C56" s="471">
        <v>45202</v>
      </c>
      <c r="D56" s="385">
        <v>20230008531</v>
      </c>
      <c r="E56" s="1026" t="s">
        <v>601</v>
      </c>
      <c r="F56" s="456" t="s">
        <v>602</v>
      </c>
      <c r="G56" s="385" t="s">
        <v>603</v>
      </c>
      <c r="H56" s="125"/>
      <c r="I56" s="385" t="s">
        <v>361</v>
      </c>
      <c r="J56" s="385">
        <v>6</v>
      </c>
      <c r="K56" s="385">
        <v>78.72</v>
      </c>
      <c r="L56" s="385">
        <v>78.72</v>
      </c>
      <c r="M56" s="385">
        <v>9690.4</v>
      </c>
      <c r="N56" s="469">
        <v>762830</v>
      </c>
      <c r="O56" s="145">
        <v>9565.91</v>
      </c>
      <c r="P56" s="385"/>
      <c r="Q56" s="385">
        <v>699844.04</v>
      </c>
      <c r="R56" s="1026" t="s">
        <v>604</v>
      </c>
      <c r="S56" s="471">
        <v>45730</v>
      </c>
      <c r="T56" s="145"/>
      <c r="W56" s="385" t="s">
        <v>546</v>
      </c>
      <c r="X56" s="145">
        <v>100000</v>
      </c>
      <c r="Y56" s="440" t="s">
        <v>447</v>
      </c>
      <c r="Z56" s="145">
        <v>670000</v>
      </c>
      <c r="AA56" s="442" t="s">
        <v>447</v>
      </c>
      <c r="AB56" s="385">
        <v>-7170</v>
      </c>
      <c r="AC56" s="442"/>
      <c r="AL56" s="145">
        <f t="shared" si="17"/>
        <v>762830</v>
      </c>
      <c r="AO56" s="446">
        <f t="shared" si="18"/>
        <v>0</v>
      </c>
      <c r="AP56" s="385">
        <v>13899022962</v>
      </c>
      <c r="AT56" s="447">
        <f t="shared" si="13"/>
        <v>0</v>
      </c>
      <c r="AU56" s="142"/>
      <c r="BC56" s="145">
        <f t="shared" si="14"/>
        <v>762829</v>
      </c>
      <c r="BD56" s="140">
        <f>1%+0.25%</f>
        <v>0.0125</v>
      </c>
      <c r="BH56" s="385">
        <v>770000</v>
      </c>
      <c r="CB56" s="385">
        <v>-7171</v>
      </c>
      <c r="CJ56" s="385" t="s">
        <v>260</v>
      </c>
      <c r="CK56" s="385" t="s">
        <v>271</v>
      </c>
      <c r="CM56" s="385" t="s">
        <v>261</v>
      </c>
    </row>
    <row r="57" s="385" customFormat="1" customHeight="1" spans="1:91">
      <c r="A57" s="385">
        <v>50</v>
      </c>
      <c r="C57" s="471">
        <v>45319</v>
      </c>
      <c r="D57" s="385">
        <v>20240000633</v>
      </c>
      <c r="E57" s="1026" t="s">
        <v>605</v>
      </c>
      <c r="F57" s="456" t="s">
        <v>606</v>
      </c>
      <c r="G57" s="385" t="s">
        <v>607</v>
      </c>
      <c r="H57" s="125"/>
      <c r="I57" s="385" t="s">
        <v>361</v>
      </c>
      <c r="J57" s="385">
        <v>7</v>
      </c>
      <c r="K57" s="385">
        <v>69.35</v>
      </c>
      <c r="L57" s="385">
        <v>69.35</v>
      </c>
      <c r="M57" s="385">
        <v>9740</v>
      </c>
      <c r="N57" s="469">
        <v>675469</v>
      </c>
      <c r="O57" s="145">
        <v>9646.51</v>
      </c>
      <c r="Q57" s="385">
        <v>619696.33</v>
      </c>
      <c r="R57" s="1026" t="s">
        <v>608</v>
      </c>
      <c r="S57" s="471">
        <v>45730</v>
      </c>
      <c r="T57" s="145"/>
      <c r="W57" s="385" t="s">
        <v>546</v>
      </c>
      <c r="X57" s="145">
        <v>30000</v>
      </c>
      <c r="Y57" s="440" t="s">
        <v>455</v>
      </c>
      <c r="Z57" s="145">
        <f>10000+130000</f>
        <v>140000</v>
      </c>
      <c r="AA57" s="385" t="s">
        <v>609</v>
      </c>
      <c r="AB57" s="385">
        <v>130000</v>
      </c>
      <c r="AC57" s="442" t="s">
        <v>534</v>
      </c>
      <c r="AD57" s="145">
        <v>230000</v>
      </c>
      <c r="AE57" s="385" t="s">
        <v>610</v>
      </c>
      <c r="AF57" s="145">
        <f>77000+74800</f>
        <v>151800</v>
      </c>
      <c r="AG57" s="146" t="s">
        <v>611</v>
      </c>
      <c r="AH57" s="385">
        <v>-6331</v>
      </c>
      <c r="AL57" s="145">
        <f t="shared" si="17"/>
        <v>675469</v>
      </c>
      <c r="AO57" s="446">
        <f t="shared" si="18"/>
        <v>0</v>
      </c>
      <c r="AP57" s="385">
        <v>18095858980</v>
      </c>
      <c r="AT57" s="447">
        <f t="shared" si="13"/>
        <v>0</v>
      </c>
      <c r="AU57" s="142"/>
      <c r="BC57" s="145">
        <f t="shared" si="14"/>
        <v>675469</v>
      </c>
      <c r="BD57" s="140">
        <f>1%+0.25%</f>
        <v>0.0125</v>
      </c>
      <c r="BL57" s="385">
        <v>681800</v>
      </c>
      <c r="CB57" s="385">
        <v>-6331</v>
      </c>
      <c r="CJ57" s="385" t="s">
        <v>260</v>
      </c>
      <c r="CK57" s="385" t="s">
        <v>271</v>
      </c>
      <c r="CM57" s="385" t="s">
        <v>261</v>
      </c>
    </row>
    <row r="58" s="385" customFormat="1" customHeight="1" spans="1:91">
      <c r="A58" s="385">
        <v>51</v>
      </c>
      <c r="C58" s="471">
        <v>45202</v>
      </c>
      <c r="D58" s="385">
        <v>20230008528</v>
      </c>
      <c r="E58" s="1026" t="s">
        <v>612</v>
      </c>
      <c r="F58" s="456" t="s">
        <v>613</v>
      </c>
      <c r="G58" s="385" t="s">
        <v>614</v>
      </c>
      <c r="H58" s="125"/>
      <c r="I58" s="385" t="s">
        <v>361</v>
      </c>
      <c r="J58" s="385">
        <v>8</v>
      </c>
      <c r="K58" s="385">
        <v>82.47</v>
      </c>
      <c r="L58" s="385">
        <v>82.47</v>
      </c>
      <c r="M58" s="385">
        <v>9851.03</v>
      </c>
      <c r="N58" s="469">
        <v>812415</v>
      </c>
      <c r="O58" s="145">
        <v>9725.51</v>
      </c>
      <c r="P58" s="385"/>
      <c r="Q58" s="385">
        <v>745334.86</v>
      </c>
      <c r="R58" s="1026" t="s">
        <v>615</v>
      </c>
      <c r="S58" s="471">
        <v>45730</v>
      </c>
      <c r="T58" s="145"/>
      <c r="V58" s="385" t="s">
        <v>616</v>
      </c>
      <c r="W58" s="385" t="s">
        <v>617</v>
      </c>
      <c r="X58" s="145">
        <v>20000</v>
      </c>
      <c r="Y58" s="440" t="s">
        <v>618</v>
      </c>
      <c r="Z58" s="145">
        <v>80000</v>
      </c>
      <c r="AA58" s="385" t="s">
        <v>447</v>
      </c>
      <c r="AB58" s="385">
        <v>720000</v>
      </c>
      <c r="AC58" s="442" t="s">
        <v>447</v>
      </c>
      <c r="AD58" s="385">
        <v>-7585</v>
      </c>
      <c r="AL58" s="145">
        <f t="shared" si="17"/>
        <v>812415</v>
      </c>
      <c r="AO58" s="446">
        <f t="shared" si="18"/>
        <v>0</v>
      </c>
      <c r="AP58" s="385">
        <v>13899022962</v>
      </c>
      <c r="AT58" s="447">
        <f t="shared" si="13"/>
        <v>0</v>
      </c>
      <c r="AU58" s="142"/>
      <c r="BC58" s="145">
        <f t="shared" si="14"/>
        <v>812415</v>
      </c>
      <c r="BD58" s="140">
        <f>1%+0.25%</f>
        <v>0.0125</v>
      </c>
      <c r="BH58" s="385">
        <v>820000</v>
      </c>
      <c r="CB58" s="385">
        <v>-7585</v>
      </c>
      <c r="CJ58" s="385" t="s">
        <v>260</v>
      </c>
      <c r="CK58" s="385" t="s">
        <v>271</v>
      </c>
      <c r="CM58" s="385" t="s">
        <v>261</v>
      </c>
    </row>
    <row r="59" s="385" customFormat="1" customHeight="1" spans="1:91">
      <c r="A59" s="385">
        <v>52</v>
      </c>
      <c r="C59" s="471">
        <v>45202</v>
      </c>
      <c r="D59" s="385">
        <v>20230008534</v>
      </c>
      <c r="E59" s="1026" t="s">
        <v>619</v>
      </c>
      <c r="F59" s="456" t="s">
        <v>620</v>
      </c>
      <c r="G59" s="385" t="s">
        <v>621</v>
      </c>
      <c r="H59" s="125"/>
      <c r="I59" s="385" t="s">
        <v>361</v>
      </c>
      <c r="J59" s="385">
        <v>9</v>
      </c>
      <c r="K59" s="385">
        <v>78.72</v>
      </c>
      <c r="L59" s="385">
        <v>78.72</v>
      </c>
      <c r="M59" s="385">
        <v>9942.11</v>
      </c>
      <c r="N59" s="469">
        <v>782643</v>
      </c>
      <c r="O59" s="145">
        <v>9805.06</v>
      </c>
      <c r="P59" s="385"/>
      <c r="Q59" s="442">
        <v>718021.1</v>
      </c>
      <c r="R59" s="1026" t="s">
        <v>622</v>
      </c>
      <c r="S59" s="471">
        <v>45730</v>
      </c>
      <c r="T59" s="145"/>
      <c r="V59" s="1026" t="s">
        <v>623</v>
      </c>
      <c r="W59" s="385" t="s">
        <v>546</v>
      </c>
      <c r="X59" s="145">
        <v>20000</v>
      </c>
      <c r="Y59" s="440" t="s">
        <v>618</v>
      </c>
      <c r="Z59" s="145">
        <v>80000</v>
      </c>
      <c r="AA59" s="385" t="s">
        <v>447</v>
      </c>
      <c r="AB59" s="385">
        <v>300000</v>
      </c>
      <c r="AC59" s="442" t="s">
        <v>447</v>
      </c>
      <c r="AD59" s="145">
        <v>230000</v>
      </c>
      <c r="AE59" s="385" t="s">
        <v>624</v>
      </c>
      <c r="AF59" s="145">
        <v>160000</v>
      </c>
      <c r="AG59" s="385" t="s">
        <v>625</v>
      </c>
      <c r="AH59" s="385">
        <v>-7357</v>
      </c>
      <c r="AL59" s="145">
        <f t="shared" si="17"/>
        <v>782643</v>
      </c>
      <c r="AO59" s="446">
        <f t="shared" si="18"/>
        <v>0</v>
      </c>
      <c r="AP59" s="385">
        <v>15199940173</v>
      </c>
      <c r="AT59" s="447">
        <f t="shared" si="13"/>
        <v>0</v>
      </c>
      <c r="AU59" s="142"/>
      <c r="BC59" s="145">
        <f t="shared" si="14"/>
        <v>782643</v>
      </c>
      <c r="BD59" s="140">
        <f>1%+0.25%</f>
        <v>0.0125</v>
      </c>
      <c r="BN59" s="385">
        <v>790000</v>
      </c>
      <c r="CB59" s="385">
        <v>-7357</v>
      </c>
      <c r="CJ59" s="385" t="s">
        <v>260</v>
      </c>
      <c r="CK59" s="385" t="s">
        <v>271</v>
      </c>
      <c r="CM59" s="385" t="s">
        <v>261</v>
      </c>
    </row>
    <row r="60" s="385" customFormat="1" customHeight="1" spans="1:91">
      <c r="A60" s="385">
        <v>53</v>
      </c>
      <c r="C60" s="471">
        <v>45538</v>
      </c>
      <c r="D60" s="385">
        <v>20240005074</v>
      </c>
      <c r="F60" s="456" t="s">
        <v>626</v>
      </c>
      <c r="G60" s="385" t="s">
        <v>627</v>
      </c>
      <c r="H60" s="125"/>
      <c r="I60" s="385" t="s">
        <v>361</v>
      </c>
      <c r="J60" s="385">
        <v>10</v>
      </c>
      <c r="K60" s="385">
        <v>140.64</v>
      </c>
      <c r="L60" s="385">
        <v>140.64</v>
      </c>
      <c r="M60" s="385">
        <v>9300</v>
      </c>
      <c r="N60" s="469">
        <v>1307952</v>
      </c>
      <c r="O60" s="145">
        <v>9126.58</v>
      </c>
      <c r="P60" s="385"/>
      <c r="Q60" s="385">
        <v>1199955.96</v>
      </c>
      <c r="R60" s="1026" t="s">
        <v>628</v>
      </c>
      <c r="S60" s="471">
        <v>45730</v>
      </c>
      <c r="T60" s="145"/>
      <c r="U60" s="146"/>
      <c r="W60" s="385" t="s">
        <v>284</v>
      </c>
      <c r="X60" s="145">
        <v>10000</v>
      </c>
      <c r="Y60" s="440" t="s">
        <v>629</v>
      </c>
      <c r="Z60" s="145">
        <v>250000</v>
      </c>
      <c r="AA60" s="385" t="s">
        <v>580</v>
      </c>
      <c r="AB60" s="385">
        <v>70000</v>
      </c>
      <c r="AC60" s="442" t="s">
        <v>547</v>
      </c>
      <c r="AD60" s="145">
        <f>100000+892739</f>
        <v>992739</v>
      </c>
      <c r="AE60" s="146">
        <v>45538</v>
      </c>
      <c r="AF60" s="385">
        <v>-14787</v>
      </c>
      <c r="AL60" s="145">
        <f t="shared" si="17"/>
        <v>1307952</v>
      </c>
      <c r="AO60" s="446">
        <f t="shared" si="18"/>
        <v>0</v>
      </c>
      <c r="AT60" s="447">
        <f t="shared" si="13"/>
        <v>0</v>
      </c>
      <c r="AU60" s="142"/>
      <c r="BC60" s="145">
        <f t="shared" si="14"/>
        <v>1307952</v>
      </c>
      <c r="BD60" s="140">
        <f>1%+0.15%+0.14%</f>
        <v>0.0129</v>
      </c>
      <c r="BS60" s="385">
        <v>1322739</v>
      </c>
      <c r="CB60" s="385">
        <v>-14787</v>
      </c>
      <c r="CJ60" s="385" t="s">
        <v>260</v>
      </c>
      <c r="CM60" s="385" t="s">
        <v>261</v>
      </c>
    </row>
    <row r="61" s="385" customFormat="1" customHeight="1" spans="1:91">
      <c r="A61" s="385">
        <v>54</v>
      </c>
      <c r="C61" s="471">
        <v>45298</v>
      </c>
      <c r="D61" s="385">
        <v>20240000151</v>
      </c>
      <c r="F61" s="456" t="s">
        <v>630</v>
      </c>
      <c r="G61" s="142" t="s">
        <v>631</v>
      </c>
      <c r="H61" s="125"/>
      <c r="I61" s="385" t="s">
        <v>361</v>
      </c>
      <c r="J61" s="385">
        <v>11</v>
      </c>
      <c r="K61" s="385">
        <v>237.74</v>
      </c>
      <c r="L61" s="385">
        <v>237.74</v>
      </c>
      <c r="M61" s="385">
        <v>11860</v>
      </c>
      <c r="N61" s="469">
        <v>2819597</v>
      </c>
      <c r="O61" s="145">
        <v>11520</v>
      </c>
      <c r="Q61" s="385">
        <v>2586786.24</v>
      </c>
      <c r="R61" s="1026" t="s">
        <v>632</v>
      </c>
      <c r="S61" s="471">
        <v>45730</v>
      </c>
      <c r="T61" s="145"/>
      <c r="V61" s="385" t="s">
        <v>633</v>
      </c>
      <c r="W61" s="385" t="s">
        <v>634</v>
      </c>
      <c r="X61" s="145">
        <v>100000</v>
      </c>
      <c r="Y61" s="440" t="s">
        <v>635</v>
      </c>
      <c r="Z61" s="145">
        <v>1326163</v>
      </c>
      <c r="AA61" s="385" t="s">
        <v>610</v>
      </c>
      <c r="AB61" s="145">
        <v>1420000</v>
      </c>
      <c r="AC61" s="385" t="s">
        <v>636</v>
      </c>
      <c r="AD61" s="385">
        <v>-26566</v>
      </c>
      <c r="AL61" s="145">
        <f t="shared" si="17"/>
        <v>2819597</v>
      </c>
      <c r="AO61" s="446">
        <f t="shared" si="18"/>
        <v>0</v>
      </c>
      <c r="AP61" s="385">
        <v>18809965000</v>
      </c>
      <c r="AT61" s="447">
        <f t="shared" si="13"/>
        <v>0</v>
      </c>
      <c r="AU61" s="447"/>
      <c r="AV61" s="145"/>
      <c r="AW61" s="145"/>
      <c r="AX61" s="145"/>
      <c r="AY61" s="145"/>
      <c r="AZ61" s="145"/>
      <c r="BA61" s="145"/>
      <c r="BB61" s="145"/>
      <c r="BC61" s="145">
        <f t="shared" si="14"/>
        <v>2819597</v>
      </c>
      <c r="BD61" s="140">
        <f>1%+0.18%+0.25%</f>
        <v>0.0143</v>
      </c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>
        <v>2846163</v>
      </c>
      <c r="BR61" s="145"/>
      <c r="BS61" s="145"/>
      <c r="BT61" s="145"/>
      <c r="BU61" s="145"/>
      <c r="BV61" s="145"/>
      <c r="BW61" s="145"/>
      <c r="BX61" s="145"/>
      <c r="BY61" s="145"/>
      <c r="BZ61" s="145"/>
      <c r="CA61" s="145"/>
      <c r="CB61" s="145">
        <v>-26566</v>
      </c>
      <c r="CC61" s="145"/>
      <c r="CD61" s="145"/>
      <c r="CE61" s="145"/>
      <c r="CF61" s="145"/>
      <c r="CG61" s="145"/>
      <c r="CJ61" s="385" t="s">
        <v>260</v>
      </c>
      <c r="CK61" s="385" t="s">
        <v>271</v>
      </c>
      <c r="CM61" s="385" t="s">
        <v>261</v>
      </c>
    </row>
    <row r="62" s="385" customFormat="1" ht="57" customHeight="1" spans="1:91">
      <c r="A62" s="385">
        <v>55</v>
      </c>
      <c r="C62" s="471">
        <v>45308</v>
      </c>
      <c r="D62" s="385">
        <v>20240000152</v>
      </c>
      <c r="F62" s="456" t="s">
        <v>637</v>
      </c>
      <c r="G62" s="142" t="s">
        <v>638</v>
      </c>
      <c r="H62" s="125"/>
      <c r="I62" s="385" t="s">
        <v>361</v>
      </c>
      <c r="J62" s="385">
        <v>12</v>
      </c>
      <c r="K62" s="385">
        <v>205.28</v>
      </c>
      <c r="L62" s="385">
        <v>205.28</v>
      </c>
      <c r="M62" s="385">
        <v>11860</v>
      </c>
      <c r="N62" s="469">
        <v>2434621</v>
      </c>
      <c r="O62" s="145">
        <v>11520</v>
      </c>
      <c r="P62" s="385"/>
      <c r="Q62" s="385">
        <v>2233597.25</v>
      </c>
      <c r="R62" s="1026" t="s">
        <v>639</v>
      </c>
      <c r="S62" s="471">
        <v>45618</v>
      </c>
      <c r="T62" s="145"/>
      <c r="U62" s="440"/>
      <c r="V62" s="142" t="s">
        <v>633</v>
      </c>
      <c r="W62" s="142" t="s">
        <v>633</v>
      </c>
      <c r="X62" s="145">
        <v>100000</v>
      </c>
      <c r="Y62" s="440" t="s">
        <v>635</v>
      </c>
      <c r="Z62" s="145">
        <v>1137511</v>
      </c>
      <c r="AA62" s="440" t="s">
        <v>610</v>
      </c>
      <c r="AB62" s="145">
        <v>580000</v>
      </c>
      <c r="AC62" s="440" t="s">
        <v>636</v>
      </c>
      <c r="AD62" s="145">
        <v>640000</v>
      </c>
      <c r="AE62" s="440" t="s">
        <v>640</v>
      </c>
      <c r="AF62" s="385">
        <v>-22890</v>
      </c>
      <c r="AL62" s="145">
        <f t="shared" si="17"/>
        <v>2434621</v>
      </c>
      <c r="AO62" s="446">
        <f t="shared" ref="AO62:AO73" si="19">N62-AL62</f>
        <v>0</v>
      </c>
      <c r="AT62" s="447">
        <f t="shared" si="13"/>
        <v>400</v>
      </c>
      <c r="AU62" s="447"/>
      <c r="AV62" s="145">
        <f>200+200</f>
        <v>400</v>
      </c>
      <c r="AW62" s="145"/>
      <c r="AX62" s="145"/>
      <c r="AY62" s="145"/>
      <c r="AZ62" s="145"/>
      <c r="BA62" s="145"/>
      <c r="BB62" s="145"/>
      <c r="BC62" s="145">
        <f t="shared" si="14"/>
        <v>2434621</v>
      </c>
      <c r="BD62" s="140">
        <f>1%+0.18%+0.25%</f>
        <v>0.0143</v>
      </c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  <c r="BQ62" s="145"/>
      <c r="BR62" s="145">
        <v>2457511</v>
      </c>
      <c r="BS62" s="145"/>
      <c r="BT62" s="145"/>
      <c r="BU62" s="145"/>
      <c r="BV62" s="145"/>
      <c r="BW62" s="145"/>
      <c r="BX62" s="145"/>
      <c r="BY62" s="145"/>
      <c r="BZ62" s="145"/>
      <c r="CA62" s="145"/>
      <c r="CB62" s="145">
        <v>-22890</v>
      </c>
      <c r="CC62" s="145"/>
      <c r="CD62" s="145"/>
      <c r="CE62" s="145"/>
      <c r="CF62" s="145"/>
      <c r="CG62" s="145"/>
      <c r="CJ62" s="385" t="s">
        <v>260</v>
      </c>
      <c r="CK62" s="385" t="s">
        <v>271</v>
      </c>
      <c r="CM62" s="385" t="s">
        <v>261</v>
      </c>
    </row>
    <row r="63" s="385" customFormat="1" customHeight="1" spans="1:91">
      <c r="A63" s="385">
        <v>56</v>
      </c>
      <c r="C63" s="471">
        <v>45204</v>
      </c>
      <c r="D63" s="385">
        <v>20230008633</v>
      </c>
      <c r="E63" s="1026" t="s">
        <v>641</v>
      </c>
      <c r="F63" s="456" t="s">
        <v>642</v>
      </c>
      <c r="G63" s="385" t="s">
        <v>643</v>
      </c>
      <c r="H63" s="125"/>
      <c r="I63" s="385" t="s">
        <v>361</v>
      </c>
      <c r="J63" s="385">
        <v>13</v>
      </c>
      <c r="K63" s="385">
        <v>73.7</v>
      </c>
      <c r="L63" s="385">
        <v>73.7</v>
      </c>
      <c r="M63" s="385">
        <v>8510.97</v>
      </c>
      <c r="N63" s="469">
        <v>627259</v>
      </c>
      <c r="O63" s="145">
        <v>8210.97</v>
      </c>
      <c r="P63" s="385"/>
      <c r="Q63" s="385">
        <v>575466.97</v>
      </c>
      <c r="R63" s="1026" t="s">
        <v>644</v>
      </c>
      <c r="S63" s="471">
        <v>45730</v>
      </c>
      <c r="T63" s="145"/>
      <c r="U63" s="146"/>
      <c r="V63" s="385" t="s">
        <v>645</v>
      </c>
      <c r="W63" s="385" t="s">
        <v>646</v>
      </c>
      <c r="X63" s="145">
        <v>5000</v>
      </c>
      <c r="Y63" s="440" t="s">
        <v>647</v>
      </c>
      <c r="Z63" s="145">
        <v>95000</v>
      </c>
      <c r="AA63" s="442" t="s">
        <v>332</v>
      </c>
      <c r="AB63" s="145">
        <v>50000</v>
      </c>
      <c r="AC63" s="385" t="s">
        <v>513</v>
      </c>
      <c r="AD63" s="145">
        <v>173216</v>
      </c>
      <c r="AE63" s="385" t="s">
        <v>648</v>
      </c>
      <c r="AF63" s="145">
        <v>310000</v>
      </c>
      <c r="AG63" s="146">
        <v>45544</v>
      </c>
      <c r="AH63" s="385">
        <v>-5957</v>
      </c>
      <c r="AL63" s="145">
        <f t="shared" si="17"/>
        <v>627259</v>
      </c>
      <c r="AO63" s="446">
        <f t="shared" si="19"/>
        <v>0</v>
      </c>
      <c r="AP63" s="385">
        <v>18509960985</v>
      </c>
      <c r="AT63" s="447">
        <f t="shared" si="13"/>
        <v>0</v>
      </c>
      <c r="AU63" s="447"/>
      <c r="AV63" s="145"/>
      <c r="AW63" s="145"/>
      <c r="AX63" s="145"/>
      <c r="AY63" s="145"/>
      <c r="AZ63" s="145"/>
      <c r="BA63" s="145"/>
      <c r="BB63" s="145"/>
      <c r="BC63" s="145">
        <f t="shared" si="14"/>
        <v>627258</v>
      </c>
      <c r="BD63" s="540">
        <f>1%+0.18%+0.25%</f>
        <v>0.0143</v>
      </c>
      <c r="BE63" s="145"/>
      <c r="BF63" s="145"/>
      <c r="BG63" s="145"/>
      <c r="BH63" s="145">
        <v>323216</v>
      </c>
      <c r="BI63" s="145"/>
      <c r="BJ63" s="145"/>
      <c r="BK63" s="145"/>
      <c r="BL63" s="145"/>
      <c r="BM63" s="145"/>
      <c r="BN63" s="145"/>
      <c r="BO63" s="145"/>
      <c r="BP63" s="145"/>
      <c r="BQ63" s="145"/>
      <c r="BR63" s="145"/>
      <c r="BS63" s="145">
        <v>310000</v>
      </c>
      <c r="BT63" s="145"/>
      <c r="BU63" s="145"/>
      <c r="BV63" s="145"/>
      <c r="BW63" s="145"/>
      <c r="BX63" s="145"/>
      <c r="BY63" s="145"/>
      <c r="BZ63" s="145"/>
      <c r="CA63" s="145"/>
      <c r="CB63" s="145">
        <v>-5958</v>
      </c>
      <c r="CC63" s="145"/>
      <c r="CD63" s="145"/>
      <c r="CE63" s="145"/>
      <c r="CF63" s="145"/>
      <c r="CG63" s="145"/>
      <c r="CH63" s="385"/>
      <c r="CJ63" s="385" t="s">
        <v>260</v>
      </c>
      <c r="CK63" s="385" t="s">
        <v>271</v>
      </c>
      <c r="CM63" s="385" t="s">
        <v>261</v>
      </c>
    </row>
    <row r="64" s="385" customFormat="1" customHeight="1" spans="1:91">
      <c r="A64" s="385">
        <v>57</v>
      </c>
      <c r="C64" s="471">
        <v>45199</v>
      </c>
      <c r="D64" s="385">
        <v>20230008344</v>
      </c>
      <c r="E64" s="1026" t="s">
        <v>649</v>
      </c>
      <c r="F64" s="456" t="s">
        <v>650</v>
      </c>
      <c r="G64" s="385" t="s">
        <v>651</v>
      </c>
      <c r="H64" s="125"/>
      <c r="I64" s="385" t="s">
        <v>361</v>
      </c>
      <c r="J64" s="385">
        <v>14</v>
      </c>
      <c r="K64" s="385">
        <v>73.7</v>
      </c>
      <c r="L64" s="385">
        <v>73.7</v>
      </c>
      <c r="M64" s="385">
        <v>8431.25</v>
      </c>
      <c r="N64" s="469">
        <v>621384</v>
      </c>
      <c r="O64" s="145">
        <v>8131.25</v>
      </c>
      <c r="P64" s="385"/>
      <c r="Q64" s="385">
        <v>570077.06</v>
      </c>
      <c r="R64" s="1026" t="s">
        <v>652</v>
      </c>
      <c r="S64" s="471">
        <v>45730</v>
      </c>
      <c r="T64" s="145"/>
      <c r="U64" s="146"/>
      <c r="W64" s="385" t="s">
        <v>646</v>
      </c>
      <c r="X64" s="145">
        <v>100000</v>
      </c>
      <c r="Y64" s="440" t="s">
        <v>332</v>
      </c>
      <c r="Z64" s="145">
        <v>217285</v>
      </c>
      <c r="AA64" s="385" t="s">
        <v>455</v>
      </c>
      <c r="AB64" s="145">
        <v>310000</v>
      </c>
      <c r="AC64" s="146">
        <v>45561</v>
      </c>
      <c r="AD64" s="385">
        <v>-5901</v>
      </c>
      <c r="AL64" s="145">
        <f t="shared" si="17"/>
        <v>621384</v>
      </c>
      <c r="AO64" s="446">
        <f t="shared" si="19"/>
        <v>0</v>
      </c>
      <c r="AP64" s="385">
        <v>18999012716</v>
      </c>
      <c r="AT64" s="447">
        <f t="shared" si="13"/>
        <v>300</v>
      </c>
      <c r="AU64" s="447"/>
      <c r="AV64" s="145"/>
      <c r="AW64" s="145"/>
      <c r="AX64" s="145"/>
      <c r="AY64" s="145"/>
      <c r="AZ64" s="145"/>
      <c r="BA64" s="145"/>
      <c r="BB64" s="145">
        <v>300</v>
      </c>
      <c r="BC64" s="145">
        <f t="shared" si="14"/>
        <v>621384</v>
      </c>
      <c r="BD64" s="540">
        <f>1%+0.18%+0.25%</f>
        <v>0.0143</v>
      </c>
      <c r="BE64" s="145"/>
      <c r="BF64" s="145"/>
      <c r="BG64" s="145">
        <v>317285</v>
      </c>
      <c r="BH64" s="145">
        <v>317285</v>
      </c>
      <c r="BI64" s="145"/>
      <c r="BJ64" s="145"/>
      <c r="BK64" s="145"/>
      <c r="BL64" s="145"/>
      <c r="BM64" s="145"/>
      <c r="BN64" s="145"/>
      <c r="BO64" s="145"/>
      <c r="BP64" s="145"/>
      <c r="BQ64" s="145"/>
      <c r="BR64" s="145"/>
      <c r="BS64" s="145">
        <v>-7285</v>
      </c>
      <c r="BT64" s="145"/>
      <c r="BU64" s="145"/>
      <c r="BV64" s="145"/>
      <c r="BW64" s="145"/>
      <c r="BX64" s="145"/>
      <c r="BY64" s="145"/>
      <c r="BZ64" s="145"/>
      <c r="CA64" s="145"/>
      <c r="CB64" s="145">
        <v>-5901</v>
      </c>
      <c r="CC64" s="145"/>
      <c r="CD64" s="145"/>
      <c r="CE64" s="145"/>
      <c r="CF64" s="145"/>
      <c r="CG64" s="145"/>
      <c r="CH64" s="385"/>
      <c r="CJ64" s="385" t="s">
        <v>260</v>
      </c>
      <c r="CK64" s="385" t="s">
        <v>271</v>
      </c>
      <c r="CM64" s="385" t="s">
        <v>261</v>
      </c>
    </row>
    <row r="65" s="385" customFormat="1" customHeight="1" spans="1:95">
      <c r="A65" s="385">
        <v>58</v>
      </c>
      <c r="B65" s="385"/>
      <c r="C65" s="471">
        <v>45710</v>
      </c>
      <c r="D65" s="385">
        <v>20250000773</v>
      </c>
      <c r="F65" s="456" t="s">
        <v>653</v>
      </c>
      <c r="G65" s="385" t="s">
        <v>654</v>
      </c>
      <c r="H65" s="125"/>
      <c r="I65" s="385" t="s">
        <v>361</v>
      </c>
      <c r="J65" s="385">
        <v>15</v>
      </c>
      <c r="K65" s="385">
        <v>130.9</v>
      </c>
      <c r="L65" s="385">
        <v>130.9</v>
      </c>
      <c r="M65" s="385">
        <v>7333.84</v>
      </c>
      <c r="N65" s="469">
        <v>960000</v>
      </c>
      <c r="O65" s="145">
        <v>7333.84</v>
      </c>
      <c r="P65" s="385"/>
      <c r="Q65" s="385">
        <v>880733.94</v>
      </c>
      <c r="R65" s="1026" t="s">
        <v>655</v>
      </c>
      <c r="S65" s="471">
        <v>45713</v>
      </c>
      <c r="T65" s="145"/>
      <c r="U65" s="385"/>
      <c r="W65" s="385" t="s">
        <v>656</v>
      </c>
      <c r="X65" s="145">
        <v>100000</v>
      </c>
      <c r="Y65" s="440" t="s">
        <v>657</v>
      </c>
      <c r="Z65" s="145">
        <v>860000</v>
      </c>
      <c r="AA65" s="385" t="s">
        <v>410</v>
      </c>
      <c r="AC65" s="442"/>
      <c r="AL65" s="145">
        <f t="shared" si="17"/>
        <v>960000</v>
      </c>
      <c r="AO65" s="446">
        <f t="shared" si="19"/>
        <v>0</v>
      </c>
      <c r="AP65" s="385">
        <v>18209965961</v>
      </c>
      <c r="AQ65" s="385" t="s">
        <v>386</v>
      </c>
      <c r="AT65" s="447">
        <f t="shared" si="13"/>
        <v>0</v>
      </c>
      <c r="AU65" s="142"/>
      <c r="BC65" s="145">
        <f t="shared" si="14"/>
        <v>960000</v>
      </c>
      <c r="BD65" s="140">
        <f>0.9%+0.18%+0.2%+0.03%</f>
        <v>0.0131</v>
      </c>
      <c r="BX65" s="385">
        <v>960000</v>
      </c>
      <c r="CJ65" s="385" t="s">
        <v>260</v>
      </c>
      <c r="CM65" s="385" t="s">
        <v>261</v>
      </c>
    </row>
    <row r="66" s="385" customFormat="1" customHeight="1" spans="1:95">
      <c r="A66" s="385">
        <v>59</v>
      </c>
      <c r="B66" s="385"/>
      <c r="C66" s="471">
        <v>45566</v>
      </c>
      <c r="D66" s="385">
        <v>20240005533</v>
      </c>
      <c r="F66" s="456" t="s">
        <v>658</v>
      </c>
      <c r="G66" s="385" t="s">
        <v>659</v>
      </c>
      <c r="H66" s="125"/>
      <c r="I66" s="385" t="s">
        <v>361</v>
      </c>
      <c r="J66" s="385">
        <v>16</v>
      </c>
      <c r="K66" s="385">
        <v>85.99</v>
      </c>
      <c r="L66" s="385">
        <v>85.99</v>
      </c>
      <c r="M66" s="385">
        <v>7936.497</v>
      </c>
      <c r="N66" s="469">
        <v>682460</v>
      </c>
      <c r="O66" s="145">
        <v>8189.96</v>
      </c>
      <c r="P66" s="385" t="s">
        <v>660</v>
      </c>
      <c r="Q66" s="385">
        <v>626110.09</v>
      </c>
      <c r="R66" s="1026" t="s">
        <v>661</v>
      </c>
      <c r="S66" s="471">
        <v>45603</v>
      </c>
      <c r="T66" s="145"/>
      <c r="U66" s="146"/>
      <c r="W66" s="385" t="s">
        <v>380</v>
      </c>
      <c r="X66" s="145">
        <v>10000</v>
      </c>
      <c r="Y66" s="440">
        <v>45547</v>
      </c>
      <c r="Z66" s="145">
        <v>188888</v>
      </c>
      <c r="AA66" s="448" t="s">
        <v>662</v>
      </c>
      <c r="AB66" s="385">
        <v>150000</v>
      </c>
      <c r="AC66" s="442" t="s">
        <v>663</v>
      </c>
      <c r="AD66" s="145">
        <v>340000</v>
      </c>
      <c r="AE66" s="146" t="s">
        <v>548</v>
      </c>
      <c r="AF66" s="385">
        <v>-6428</v>
      </c>
      <c r="AL66" s="145">
        <f t="shared" si="17"/>
        <v>682460</v>
      </c>
      <c r="AO66" s="446">
        <f t="shared" si="19"/>
        <v>0</v>
      </c>
      <c r="AP66" s="385">
        <v>13551810694</v>
      </c>
      <c r="AT66" s="447">
        <f t="shared" si="13"/>
        <v>0</v>
      </c>
      <c r="AU66" s="142"/>
      <c r="BC66" s="145">
        <f t="shared" si="14"/>
        <v>682460</v>
      </c>
      <c r="BD66" s="140">
        <f>0.8%+0.15%+0.2%</f>
        <v>0.0115</v>
      </c>
      <c r="BU66" s="385">
        <v>682460</v>
      </c>
      <c r="CJ66" s="385" t="s">
        <v>260</v>
      </c>
      <c r="CM66" s="385" t="s">
        <v>261</v>
      </c>
    </row>
    <row r="67" s="385" customFormat="1" customHeight="1" spans="1:95">
      <c r="A67" s="385">
        <v>60</v>
      </c>
      <c r="C67" s="471">
        <v>45499</v>
      </c>
      <c r="D67" s="385">
        <v>20240004261</v>
      </c>
      <c r="E67" s="1026" t="s">
        <v>664</v>
      </c>
      <c r="F67" s="456" t="s">
        <v>665</v>
      </c>
      <c r="G67" s="142" t="s">
        <v>666</v>
      </c>
      <c r="H67" s="125"/>
      <c r="I67" s="385" t="s">
        <v>361</v>
      </c>
      <c r="J67" s="385">
        <v>17</v>
      </c>
      <c r="K67" s="385">
        <v>78.97</v>
      </c>
      <c r="L67" s="385">
        <v>78.97</v>
      </c>
      <c r="M67" s="385">
        <v>8200</v>
      </c>
      <c r="N67" s="469">
        <v>647554</v>
      </c>
      <c r="O67" s="145">
        <v>8110.16</v>
      </c>
      <c r="P67" s="385"/>
      <c r="Q67" s="385">
        <v>594086.24</v>
      </c>
      <c r="R67" s="1026" t="s">
        <v>667</v>
      </c>
      <c r="S67" s="471">
        <v>45730</v>
      </c>
      <c r="T67" s="145"/>
      <c r="U67" s="146"/>
      <c r="V67" s="146"/>
      <c r="W67" s="146" t="s">
        <v>267</v>
      </c>
      <c r="X67" s="145">
        <v>100000</v>
      </c>
      <c r="Y67" s="440" t="s">
        <v>668</v>
      </c>
      <c r="Z67" s="385">
        <v>100000</v>
      </c>
      <c r="AA67" s="442" t="s">
        <v>669</v>
      </c>
      <c r="AB67" s="145">
        <v>133622</v>
      </c>
      <c r="AC67" s="146" t="s">
        <v>670</v>
      </c>
      <c r="AD67" s="145">
        <v>320000</v>
      </c>
      <c r="AE67" s="146" t="s">
        <v>671</v>
      </c>
      <c r="AF67" s="385">
        <v>-6068</v>
      </c>
      <c r="AL67" s="145">
        <f t="shared" si="17"/>
        <v>647554</v>
      </c>
      <c r="AO67" s="446">
        <f t="shared" si="19"/>
        <v>0</v>
      </c>
      <c r="AP67" s="385">
        <v>15226213785</v>
      </c>
      <c r="AT67" s="447">
        <f t="shared" si="13"/>
        <v>0</v>
      </c>
      <c r="AU67" s="142"/>
      <c r="BC67" s="145">
        <f t="shared" si="14"/>
        <v>647554</v>
      </c>
      <c r="BD67" s="540">
        <f>1%+0.14%</f>
        <v>0.0114</v>
      </c>
      <c r="BQ67" s="385">
        <v>333622</v>
      </c>
      <c r="BV67" s="385">
        <v>313932</v>
      </c>
      <c r="CJ67" s="385" t="s">
        <v>260</v>
      </c>
      <c r="CM67" s="385" t="s">
        <v>261</v>
      </c>
    </row>
    <row r="68" s="385" customFormat="1" customHeight="1" spans="1:95">
      <c r="A68" s="385">
        <v>61</v>
      </c>
      <c r="B68" s="385"/>
      <c r="C68" s="471">
        <v>45806</v>
      </c>
      <c r="D68" s="385">
        <v>20250002936</v>
      </c>
      <c r="F68" s="456" t="s">
        <v>672</v>
      </c>
      <c r="G68" s="385" t="s">
        <v>673</v>
      </c>
      <c r="H68" s="125"/>
      <c r="I68" s="385" t="s">
        <v>361</v>
      </c>
      <c r="J68" s="385">
        <v>18</v>
      </c>
      <c r="K68" s="385">
        <v>127.07</v>
      </c>
      <c r="L68" s="385">
        <v>127.07</v>
      </c>
      <c r="M68" s="385">
        <v>7796.66</v>
      </c>
      <c r="N68" s="469">
        <v>990722</v>
      </c>
      <c r="O68" s="145">
        <v>7791.2</v>
      </c>
      <c r="P68" s="385"/>
      <c r="Q68" s="385">
        <v>908919.27</v>
      </c>
      <c r="R68" s="1026" t="s">
        <v>674</v>
      </c>
      <c r="S68" s="146">
        <v>45807</v>
      </c>
      <c r="T68" s="145"/>
      <c r="U68" s="146"/>
      <c r="V68" s="146"/>
      <c r="W68" s="146" t="s">
        <v>380</v>
      </c>
      <c r="X68" s="145">
        <f>480000+410722+100000</f>
        <v>990722</v>
      </c>
      <c r="Y68" s="440" t="s">
        <v>675</v>
      </c>
      <c r="Z68" s="145"/>
      <c r="AA68" s="442"/>
      <c r="AC68" s="442"/>
      <c r="AL68" s="145">
        <f t="shared" si="17"/>
        <v>990722</v>
      </c>
      <c r="AO68" s="446">
        <f t="shared" si="19"/>
        <v>0</v>
      </c>
      <c r="AP68" s="385">
        <v>18999621088</v>
      </c>
      <c r="AQ68" s="385" t="s">
        <v>574</v>
      </c>
      <c r="AT68" s="447">
        <f t="shared" si="13"/>
        <v>0</v>
      </c>
      <c r="AU68" s="142"/>
      <c r="BC68" s="145">
        <f t="shared" si="14"/>
        <v>990722</v>
      </c>
      <c r="BD68" s="140">
        <f>1%+0.18%+0.14%+0.03%</f>
        <v>0.0135</v>
      </c>
      <c r="CA68" s="385">
        <v>990722</v>
      </c>
      <c r="CJ68" s="385" t="s">
        <v>260</v>
      </c>
      <c r="CM68" s="385" t="s">
        <v>261</v>
      </c>
      <c r="CO68" s="385">
        <f>CA68*0.002</f>
        <v>1981.444</v>
      </c>
      <c r="CP68" s="385">
        <f>CA68*0.0014</f>
        <v>1387.0108</v>
      </c>
      <c r="CQ68" s="385">
        <f>CO68-CP68</f>
        <v>594.4332</v>
      </c>
    </row>
    <row r="69" s="385" customFormat="1" customHeight="1" spans="1:95">
      <c r="A69" s="385">
        <v>62</v>
      </c>
      <c r="C69" s="471">
        <v>45211</v>
      </c>
      <c r="D69" s="385">
        <v>20230008933</v>
      </c>
      <c r="F69" s="456" t="s">
        <v>676</v>
      </c>
      <c r="G69" s="385" t="s">
        <v>677</v>
      </c>
      <c r="H69" s="125"/>
      <c r="I69" s="385" t="s">
        <v>361</v>
      </c>
      <c r="J69" s="385">
        <v>19</v>
      </c>
      <c r="K69" s="385">
        <v>58.66</v>
      </c>
      <c r="L69" s="385">
        <v>58.66</v>
      </c>
      <c r="M69" s="385">
        <v>8144.33</v>
      </c>
      <c r="N69" s="469">
        <v>477746</v>
      </c>
      <c r="O69" s="145">
        <v>7813.24</v>
      </c>
      <c r="P69" s="385"/>
      <c r="Q69" s="385">
        <v>438299.08</v>
      </c>
      <c r="R69" s="1026" t="s">
        <v>678</v>
      </c>
      <c r="S69" s="471">
        <v>45618</v>
      </c>
      <c r="T69" s="145"/>
      <c r="U69" s="146"/>
      <c r="V69" s="146"/>
      <c r="W69" s="146" t="s">
        <v>267</v>
      </c>
      <c r="X69" s="145">
        <v>400000</v>
      </c>
      <c r="Y69" s="440" t="s">
        <v>679</v>
      </c>
      <c r="Z69" s="145">
        <v>82226</v>
      </c>
      <c r="AA69" s="442" t="s">
        <v>680</v>
      </c>
      <c r="AB69" s="385">
        <v>-4480</v>
      </c>
      <c r="AC69" s="442"/>
      <c r="AL69" s="145">
        <f t="shared" si="17"/>
        <v>477746</v>
      </c>
      <c r="AO69" s="446">
        <f t="shared" si="19"/>
        <v>0</v>
      </c>
      <c r="AT69" s="447">
        <f t="shared" si="13"/>
        <v>0</v>
      </c>
      <c r="AU69" s="142"/>
      <c r="BC69" s="145">
        <f t="shared" si="14"/>
        <v>477747</v>
      </c>
      <c r="BD69" s="603">
        <f>0.9%+0.2%</f>
        <v>0.011</v>
      </c>
      <c r="BH69" s="385">
        <v>482226</v>
      </c>
      <c r="CB69" s="385">
        <v>-4479</v>
      </c>
      <c r="CJ69" s="385" t="s">
        <v>260</v>
      </c>
      <c r="CK69" s="385" t="s">
        <v>271</v>
      </c>
      <c r="CM69" s="385" t="s">
        <v>261</v>
      </c>
    </row>
    <row r="70" s="385" customFormat="1" customHeight="1" spans="1:95">
      <c r="A70" s="385">
        <v>63</v>
      </c>
      <c r="C70" s="471">
        <v>45329</v>
      </c>
      <c r="D70" s="385">
        <v>20240000814</v>
      </c>
      <c r="E70" s="1026" t="s">
        <v>681</v>
      </c>
      <c r="F70" s="456" t="s">
        <v>682</v>
      </c>
      <c r="G70" s="385" t="s">
        <v>683</v>
      </c>
      <c r="H70" s="125"/>
      <c r="I70" s="385" t="s">
        <v>361</v>
      </c>
      <c r="J70" s="385">
        <v>20</v>
      </c>
      <c r="K70" s="385">
        <v>58.66</v>
      </c>
      <c r="L70" s="385">
        <v>58.66</v>
      </c>
      <c r="M70" s="385">
        <v>7768.95</v>
      </c>
      <c r="N70" s="469">
        <v>455727</v>
      </c>
      <c r="O70" s="145">
        <v>7768.95</v>
      </c>
      <c r="Q70" s="385">
        <v>418098.17</v>
      </c>
      <c r="R70" s="1026" t="s">
        <v>684</v>
      </c>
      <c r="S70" s="471">
        <v>45730</v>
      </c>
      <c r="T70" s="145"/>
      <c r="U70" s="146"/>
      <c r="V70" s="146"/>
      <c r="W70" s="146" t="s">
        <v>546</v>
      </c>
      <c r="X70" s="145">
        <v>60000</v>
      </c>
      <c r="Y70" s="440" t="s">
        <v>679</v>
      </c>
      <c r="Z70" s="145">
        <v>110000</v>
      </c>
      <c r="AA70" s="146" t="s">
        <v>685</v>
      </c>
      <c r="AB70" s="145">
        <v>140000</v>
      </c>
      <c r="AC70" s="146" t="s">
        <v>686</v>
      </c>
      <c r="AD70" s="145">
        <v>150000</v>
      </c>
      <c r="AE70" s="146" t="s">
        <v>296</v>
      </c>
      <c r="AF70" s="385">
        <v>-4273</v>
      </c>
      <c r="AL70" s="145">
        <f t="shared" si="17"/>
        <v>455727</v>
      </c>
      <c r="AO70" s="446">
        <f t="shared" si="19"/>
        <v>0</v>
      </c>
      <c r="AP70" s="385">
        <v>18196240028</v>
      </c>
      <c r="AT70" s="447">
        <f t="shared" si="13"/>
        <v>0</v>
      </c>
      <c r="AU70" s="142"/>
      <c r="BC70" s="145">
        <f t="shared" si="14"/>
        <v>455727</v>
      </c>
      <c r="BD70" s="540">
        <f>1%+0.2%</f>
        <v>0.012</v>
      </c>
      <c r="BL70" s="385">
        <v>310000</v>
      </c>
      <c r="BN70" s="385">
        <v>150000</v>
      </c>
      <c r="CB70" s="385">
        <v>-4273</v>
      </c>
      <c r="CJ70" s="385" t="s">
        <v>260</v>
      </c>
      <c r="CK70" s="385" t="s">
        <v>271</v>
      </c>
      <c r="CM70" s="385" t="s">
        <v>261</v>
      </c>
    </row>
    <row r="71" s="385" customFormat="1" customHeight="1" spans="1:95">
      <c r="A71" s="385">
        <v>64</v>
      </c>
      <c r="B71" s="385"/>
      <c r="C71" s="471">
        <v>46055</v>
      </c>
      <c r="D71" s="385">
        <v>20260000634</v>
      </c>
      <c r="F71" s="456" t="s">
        <v>687</v>
      </c>
      <c r="G71" s="385" t="s">
        <v>688</v>
      </c>
      <c r="H71" s="125"/>
      <c r="I71" s="385" t="s">
        <v>361</v>
      </c>
      <c r="J71" s="385">
        <v>21</v>
      </c>
      <c r="K71" s="385">
        <v>118.54</v>
      </c>
      <c r="L71" s="385">
        <v>118.54</v>
      </c>
      <c r="M71" s="385">
        <v>7288</v>
      </c>
      <c r="N71" s="469">
        <v>863919</v>
      </c>
      <c r="O71" s="145">
        <v>7288</v>
      </c>
      <c r="P71" s="385"/>
      <c r="Q71" s="385">
        <v>792586.24</v>
      </c>
      <c r="R71" s="1026" t="s">
        <v>689</v>
      </c>
      <c r="S71" s="146">
        <v>46078</v>
      </c>
      <c r="T71" s="145"/>
      <c r="U71" s="146"/>
      <c r="V71" s="146"/>
      <c r="W71" s="146" t="s">
        <v>690</v>
      </c>
      <c r="X71" s="145">
        <v>30000</v>
      </c>
      <c r="Y71" s="146">
        <v>46046</v>
      </c>
      <c r="Z71" s="145">
        <v>51960</v>
      </c>
      <c r="AA71" s="442" t="s">
        <v>691</v>
      </c>
      <c r="AB71" s="145">
        <v>350959</v>
      </c>
      <c r="AC71" s="146">
        <v>46055</v>
      </c>
      <c r="AL71" s="145">
        <f t="shared" si="17"/>
        <v>432919</v>
      </c>
      <c r="AO71" s="446">
        <f t="shared" si="19"/>
        <v>431000</v>
      </c>
      <c r="AP71" s="385">
        <v>17397521555</v>
      </c>
      <c r="AT71" s="447">
        <f t="shared" si="13"/>
        <v>0</v>
      </c>
      <c r="AU71" s="142"/>
      <c r="BC71" s="145">
        <f t="shared" si="14"/>
        <v>432919</v>
      </c>
      <c r="BD71" s="140">
        <f>1%+0.25%+0.03%</f>
        <v>0.0128</v>
      </c>
      <c r="CF71" s="385">
        <v>432919</v>
      </c>
      <c r="CJ71" s="385" t="s">
        <v>260</v>
      </c>
      <c r="CM71" s="385" t="s">
        <v>692</v>
      </c>
    </row>
    <row r="72" s="385" customFormat="1" customHeight="1" spans="1:95">
      <c r="A72" s="385">
        <v>65</v>
      </c>
      <c r="C72" s="471"/>
      <c r="E72" s="385" t="s">
        <v>693</v>
      </c>
      <c r="F72" s="456"/>
      <c r="G72" s="385" t="s">
        <v>694</v>
      </c>
      <c r="H72" s="125"/>
      <c r="I72" s="385" t="s">
        <v>695</v>
      </c>
      <c r="J72" s="385">
        <v>1</v>
      </c>
      <c r="K72" s="385">
        <v>898.79</v>
      </c>
      <c r="L72" s="385">
        <v>898.79</v>
      </c>
      <c r="N72" s="469">
        <v>7525569</v>
      </c>
      <c r="O72" s="145">
        <v>7898.53</v>
      </c>
      <c r="P72" s="385"/>
      <c r="T72" s="145"/>
      <c r="U72" s="146"/>
      <c r="V72" s="448"/>
      <c r="W72" s="146"/>
      <c r="X72" s="145">
        <v>857000</v>
      </c>
      <c r="Y72" s="146">
        <v>46007</v>
      </c>
      <c r="Z72" s="145">
        <v>1981000</v>
      </c>
      <c r="AA72" s="146">
        <v>46029</v>
      </c>
      <c r="AB72" s="385">
        <v>1033500</v>
      </c>
      <c r="AC72" s="442" t="s">
        <v>696</v>
      </c>
      <c r="AL72" s="145">
        <f t="shared" si="17"/>
        <v>3871500</v>
      </c>
      <c r="AO72" s="578">
        <f t="shared" si="19"/>
        <v>3654069</v>
      </c>
      <c r="AT72" s="447">
        <f t="shared" si="13"/>
        <v>200</v>
      </c>
      <c r="AU72" s="142"/>
      <c r="AV72" s="385">
        <v>200</v>
      </c>
      <c r="BC72" s="145">
        <f t="shared" si="14"/>
        <v>0</v>
      </c>
      <c r="CM72" s="385" t="s">
        <v>697</v>
      </c>
    </row>
    <row r="73" s="385" customFormat="1" customHeight="1" spans="1:95">
      <c r="A73" s="385">
        <v>66</v>
      </c>
      <c r="C73" s="471">
        <v>45465</v>
      </c>
      <c r="D73" s="385">
        <v>20240003579</v>
      </c>
      <c r="E73" s="1026" t="s">
        <v>698</v>
      </c>
      <c r="F73" s="456" t="s">
        <v>699</v>
      </c>
      <c r="G73" s="385" t="s">
        <v>700</v>
      </c>
      <c r="H73" s="385" t="s">
        <v>701</v>
      </c>
      <c r="I73" s="385" t="s">
        <v>254</v>
      </c>
      <c r="J73" s="385">
        <v>1</v>
      </c>
      <c r="K73" s="385">
        <v>43.43</v>
      </c>
      <c r="L73" s="385">
        <v>43.43</v>
      </c>
      <c r="M73" s="385">
        <v>17000</v>
      </c>
      <c r="N73" s="469">
        <v>738310</v>
      </c>
      <c r="O73" s="145">
        <v>17000</v>
      </c>
      <c r="Q73" s="385">
        <v>677348.62</v>
      </c>
      <c r="R73" s="1026" t="s">
        <v>702</v>
      </c>
      <c r="S73" s="471">
        <v>45756</v>
      </c>
      <c r="T73" s="145"/>
      <c r="U73" s="146"/>
      <c r="V73" s="1030" t="s">
        <v>703</v>
      </c>
      <c r="W73" s="146" t="s">
        <v>561</v>
      </c>
      <c r="X73" s="145">
        <v>2000</v>
      </c>
      <c r="Y73" s="440" t="s">
        <v>481</v>
      </c>
      <c r="Z73" s="145">
        <v>48000</v>
      </c>
      <c r="AA73" s="146" t="s">
        <v>556</v>
      </c>
      <c r="AB73" s="145">
        <v>328310</v>
      </c>
      <c r="AC73" s="146" t="s">
        <v>704</v>
      </c>
      <c r="AD73" s="145">
        <v>360000</v>
      </c>
      <c r="AE73" s="146">
        <v>45554</v>
      </c>
      <c r="AL73" s="145">
        <f t="shared" ref="AL73:AL92" si="20">X73+Z73+AB73+AD73+AF73+AH73+AJ73</f>
        <v>738310</v>
      </c>
      <c r="AO73" s="446">
        <f t="shared" si="19"/>
        <v>0</v>
      </c>
      <c r="AP73" s="385">
        <v>15276299122</v>
      </c>
      <c r="AT73" s="447">
        <f t="shared" ref="AT73:AT104" si="21">AU73+AV73+AW73+AX73+AY73+AZ73+BA73+BB73</f>
        <v>0</v>
      </c>
      <c r="AU73" s="142"/>
      <c r="BC73" s="145">
        <f t="shared" ref="BC73:BC104" si="22">SUM(BE73:CG73)</f>
        <v>738310</v>
      </c>
      <c r="BD73" s="395">
        <f t="shared" ref="BD73:BD75" si="23">1%+0.18%+0.25%</f>
        <v>0.0143</v>
      </c>
      <c r="BP73" s="385">
        <v>378310</v>
      </c>
      <c r="BS73" s="385">
        <v>360000</v>
      </c>
      <c r="CJ73" s="385" t="s">
        <v>260</v>
      </c>
      <c r="CK73" s="385" t="s">
        <v>271</v>
      </c>
      <c r="CM73" s="385" t="s">
        <v>261</v>
      </c>
    </row>
    <row r="74" s="385" customFormat="1" customHeight="1" spans="1:95">
      <c r="A74" s="385">
        <v>67</v>
      </c>
      <c r="C74" s="471">
        <v>45465</v>
      </c>
      <c r="D74" s="385">
        <v>20240003028</v>
      </c>
      <c r="E74" s="1026" t="s">
        <v>705</v>
      </c>
      <c r="F74" s="456" t="s">
        <v>699</v>
      </c>
      <c r="G74" s="385" t="s">
        <v>700</v>
      </c>
      <c r="I74" s="385" t="s">
        <v>254</v>
      </c>
      <c r="J74" s="385">
        <v>2</v>
      </c>
      <c r="K74" s="385">
        <v>50.67</v>
      </c>
      <c r="L74" s="385">
        <v>50.67</v>
      </c>
      <c r="M74" s="385">
        <v>17000</v>
      </c>
      <c r="N74" s="469">
        <v>861390</v>
      </c>
      <c r="O74" s="145">
        <v>17000</v>
      </c>
      <c r="Q74" s="385">
        <v>790266.06</v>
      </c>
      <c r="R74" s="1026" t="s">
        <v>706</v>
      </c>
      <c r="S74" s="471">
        <v>45756</v>
      </c>
      <c r="T74" s="145"/>
      <c r="U74" s="146"/>
      <c r="V74" s="1030" t="s">
        <v>707</v>
      </c>
      <c r="W74" s="146" t="s">
        <v>561</v>
      </c>
      <c r="X74" s="145">
        <v>2000</v>
      </c>
      <c r="Y74" s="440" t="s">
        <v>708</v>
      </c>
      <c r="Z74" s="145">
        <v>48000</v>
      </c>
      <c r="AA74" s="146" t="s">
        <v>556</v>
      </c>
      <c r="AB74" s="385">
        <v>411390</v>
      </c>
      <c r="AC74" s="442" t="s">
        <v>709</v>
      </c>
      <c r="AD74" s="145">
        <v>400000</v>
      </c>
      <c r="AE74" s="146">
        <v>45554</v>
      </c>
      <c r="AL74" s="145">
        <f t="shared" si="20"/>
        <v>861390</v>
      </c>
      <c r="AO74" s="446">
        <f t="shared" ref="AO74:AO93" si="24">N74-AL74</f>
        <v>0</v>
      </c>
      <c r="AP74" s="385">
        <v>15276299122</v>
      </c>
      <c r="AT74" s="447">
        <f t="shared" si="21"/>
        <v>0</v>
      </c>
      <c r="AU74" s="142"/>
      <c r="BC74" s="145">
        <f t="shared" si="22"/>
        <v>861390</v>
      </c>
      <c r="BD74" s="395">
        <f t="shared" si="23"/>
        <v>0.0143</v>
      </c>
      <c r="BP74" s="385">
        <v>461390</v>
      </c>
      <c r="BS74" s="385">
        <v>400000</v>
      </c>
      <c r="CJ74" s="385" t="s">
        <v>260</v>
      </c>
      <c r="CK74" s="385" t="s">
        <v>271</v>
      </c>
      <c r="CM74" s="385" t="s">
        <v>261</v>
      </c>
    </row>
    <row r="75" s="385" customFormat="1" customHeight="1" spans="1:95">
      <c r="A75" s="385">
        <v>68</v>
      </c>
      <c r="C75" s="471">
        <v>45464</v>
      </c>
      <c r="D75" s="385">
        <v>20240003564</v>
      </c>
      <c r="E75" s="1026" t="s">
        <v>710</v>
      </c>
      <c r="F75" s="456" t="s">
        <v>711</v>
      </c>
      <c r="G75" s="385" t="s">
        <v>712</v>
      </c>
      <c r="I75" s="385" t="s">
        <v>254</v>
      </c>
      <c r="J75" s="385">
        <v>3</v>
      </c>
      <c r="K75" s="385">
        <v>50.67</v>
      </c>
      <c r="L75" s="385">
        <v>50.67</v>
      </c>
      <c r="M75" s="448">
        <v>17959.34</v>
      </c>
      <c r="N75" s="469">
        <v>910000</v>
      </c>
      <c r="O75" s="145">
        <v>17650</v>
      </c>
      <c r="Q75" s="385">
        <v>834862.39</v>
      </c>
      <c r="R75" s="1026" t="s">
        <v>713</v>
      </c>
      <c r="S75" s="471">
        <v>45756</v>
      </c>
      <c r="T75" s="145"/>
      <c r="U75" s="146"/>
      <c r="V75" s="448"/>
      <c r="W75" s="146" t="s">
        <v>267</v>
      </c>
      <c r="X75" s="145">
        <v>50000</v>
      </c>
      <c r="Y75" s="440" t="s">
        <v>714</v>
      </c>
      <c r="Z75" s="145">
        <v>50000</v>
      </c>
      <c r="AA75" s="442" t="s">
        <v>715</v>
      </c>
      <c r="AB75" s="145">
        <v>200000</v>
      </c>
      <c r="AC75" s="146" t="s">
        <v>716</v>
      </c>
      <c r="AD75" s="385">
        <f>90000+60000</f>
        <v>150000</v>
      </c>
      <c r="AE75" s="385" t="s">
        <v>704</v>
      </c>
      <c r="AF75" s="145">
        <v>460000</v>
      </c>
      <c r="AG75" s="146" t="s">
        <v>717</v>
      </c>
      <c r="AL75" s="145">
        <f t="shared" si="20"/>
        <v>910000</v>
      </c>
      <c r="AO75" s="446">
        <f t="shared" si="24"/>
        <v>0</v>
      </c>
      <c r="AP75" s="385">
        <v>17767669870</v>
      </c>
      <c r="AT75" s="447">
        <f t="shared" si="21"/>
        <v>0</v>
      </c>
      <c r="AU75" s="142"/>
      <c r="BC75" s="145">
        <f t="shared" si="22"/>
        <v>910000</v>
      </c>
      <c r="BD75" s="395">
        <f>1%+0.25%</f>
        <v>0.0125</v>
      </c>
      <c r="BR75" s="385">
        <v>910000</v>
      </c>
      <c r="CJ75" s="385" t="s">
        <v>260</v>
      </c>
      <c r="CK75" s="385" t="s">
        <v>271</v>
      </c>
      <c r="CM75" s="385" t="s">
        <v>261</v>
      </c>
    </row>
    <row r="76" s="385" customFormat="1" customHeight="1" spans="1:95">
      <c r="A76" s="385">
        <v>69</v>
      </c>
      <c r="B76" s="385"/>
      <c r="C76" s="471">
        <v>45567</v>
      </c>
      <c r="D76" s="385">
        <v>20240005663</v>
      </c>
      <c r="E76" s="1026" t="s">
        <v>718</v>
      </c>
      <c r="F76" s="456" t="s">
        <v>719</v>
      </c>
      <c r="G76" s="385" t="s">
        <v>720</v>
      </c>
      <c r="I76" s="385" t="s">
        <v>254</v>
      </c>
      <c r="J76" s="385">
        <v>4</v>
      </c>
      <c r="K76" s="385">
        <v>50.67</v>
      </c>
      <c r="L76" s="385">
        <v>50.67</v>
      </c>
      <c r="M76" s="385">
        <v>17959.34</v>
      </c>
      <c r="N76" s="469">
        <v>910000</v>
      </c>
      <c r="O76" s="145">
        <v>17844</v>
      </c>
      <c r="Q76" s="385">
        <v>834862.39</v>
      </c>
      <c r="R76" s="1026" t="s">
        <v>721</v>
      </c>
      <c r="S76" s="471">
        <v>45756</v>
      </c>
      <c r="T76" s="145"/>
      <c r="U76" s="146"/>
      <c r="V76" s="448"/>
      <c r="W76" s="146" t="s">
        <v>722</v>
      </c>
      <c r="X76" s="145">
        <v>20000</v>
      </c>
      <c r="Y76" s="440">
        <v>45548</v>
      </c>
      <c r="Z76" s="145">
        <v>440000</v>
      </c>
      <c r="AA76" s="146" t="s">
        <v>723</v>
      </c>
      <c r="AB76" s="385">
        <v>450000</v>
      </c>
      <c r="AC76" s="442" t="s">
        <v>401</v>
      </c>
      <c r="AL76" s="145">
        <f t="shared" si="20"/>
        <v>910000</v>
      </c>
      <c r="AO76" s="446">
        <f t="shared" si="24"/>
        <v>0</v>
      </c>
      <c r="AP76" s="385">
        <v>13150268333</v>
      </c>
      <c r="AT76" s="447">
        <f t="shared" si="21"/>
        <v>0</v>
      </c>
      <c r="AU76" s="142"/>
      <c r="BC76" s="145">
        <f t="shared" si="22"/>
        <v>910000</v>
      </c>
      <c r="BD76" s="140">
        <f>0.9%+0.2%</f>
        <v>0.011</v>
      </c>
      <c r="BT76" s="385">
        <v>910000</v>
      </c>
      <c r="CJ76" s="385" t="s">
        <v>260</v>
      </c>
      <c r="CM76" s="385" t="s">
        <v>261</v>
      </c>
    </row>
    <row r="77" s="385" customFormat="1" ht="40" customHeight="1" spans="1:95">
      <c r="A77" s="385">
        <v>70</v>
      </c>
      <c r="C77" s="471">
        <v>45504</v>
      </c>
      <c r="D77" s="385">
        <v>20240004390</v>
      </c>
      <c r="E77" s="1026" t="s">
        <v>724</v>
      </c>
      <c r="F77" s="456" t="s">
        <v>725</v>
      </c>
      <c r="G77" s="142" t="s">
        <v>726</v>
      </c>
      <c r="I77" s="385" t="s">
        <v>254</v>
      </c>
      <c r="J77" s="385">
        <v>5</v>
      </c>
      <c r="K77" s="385">
        <v>50.67</v>
      </c>
      <c r="L77" s="385">
        <v>50.67</v>
      </c>
      <c r="M77" s="385">
        <v>18000</v>
      </c>
      <c r="N77" s="469">
        <f>M77*L77</f>
        <v>912060</v>
      </c>
      <c r="O77" s="145">
        <v>17747</v>
      </c>
      <c r="Q77" s="385">
        <v>836752.29</v>
      </c>
      <c r="R77" s="1026" t="s">
        <v>727</v>
      </c>
      <c r="S77" s="471">
        <v>45756</v>
      </c>
      <c r="T77" s="145"/>
      <c r="U77" s="146"/>
      <c r="V77" s="468"/>
      <c r="W77" s="440" t="s">
        <v>277</v>
      </c>
      <c r="X77" s="145">
        <v>20000</v>
      </c>
      <c r="Y77" s="440" t="s">
        <v>714</v>
      </c>
      <c r="Z77" s="145">
        <v>300000</v>
      </c>
      <c r="AA77" s="146" t="s">
        <v>356</v>
      </c>
      <c r="AB77" s="145">
        <v>136060</v>
      </c>
      <c r="AC77" s="146" t="s">
        <v>728</v>
      </c>
      <c r="AD77" s="145">
        <v>456000</v>
      </c>
      <c r="AE77" s="146" t="s">
        <v>581</v>
      </c>
      <c r="AL77" s="145">
        <f t="shared" si="20"/>
        <v>912060</v>
      </c>
      <c r="AO77" s="446">
        <f t="shared" si="24"/>
        <v>0</v>
      </c>
      <c r="AP77" s="385">
        <v>17699945989</v>
      </c>
      <c r="AT77" s="447">
        <f t="shared" si="21"/>
        <v>0</v>
      </c>
      <c r="AU77" s="142"/>
      <c r="BC77" s="145">
        <f t="shared" si="22"/>
        <v>912060</v>
      </c>
      <c r="BD77" s="395">
        <f t="shared" ref="BD77:BD81" si="25">1%+0.18%+0.25%</f>
        <v>0.0143</v>
      </c>
      <c r="BQ77" s="385">
        <v>456060</v>
      </c>
      <c r="BS77" s="385">
        <v>456000</v>
      </c>
      <c r="CJ77" s="385" t="s">
        <v>260</v>
      </c>
      <c r="CM77" s="385" t="s">
        <v>261</v>
      </c>
    </row>
    <row r="78" s="385" customFormat="1" ht="45" customHeight="1" spans="1:95">
      <c r="A78" s="385">
        <v>71</v>
      </c>
      <c r="C78" s="471">
        <v>45474</v>
      </c>
      <c r="D78" s="385">
        <v>20240003765</v>
      </c>
      <c r="E78" s="1026" t="s">
        <v>729</v>
      </c>
      <c r="F78" s="456" t="s">
        <v>730</v>
      </c>
      <c r="G78" s="142" t="s">
        <v>731</v>
      </c>
      <c r="I78" s="385" t="s">
        <v>254</v>
      </c>
      <c r="J78" s="385">
        <v>6</v>
      </c>
      <c r="K78" s="385">
        <v>50.67</v>
      </c>
      <c r="L78" s="385">
        <v>50.67</v>
      </c>
      <c r="M78" s="385">
        <v>18324.45</v>
      </c>
      <c r="N78" s="469">
        <v>918000</v>
      </c>
      <c r="O78" s="145">
        <v>17941</v>
      </c>
      <c r="Q78" s="385">
        <v>842201.83</v>
      </c>
      <c r="R78" s="1026" t="s">
        <v>732</v>
      </c>
      <c r="S78" s="471">
        <v>45756</v>
      </c>
      <c r="T78" s="145"/>
      <c r="U78" s="146"/>
      <c r="V78" s="1030" t="s">
        <v>733</v>
      </c>
      <c r="W78" s="146" t="s">
        <v>267</v>
      </c>
      <c r="X78" s="145">
        <v>20000</v>
      </c>
      <c r="Y78" s="440" t="s">
        <v>734</v>
      </c>
      <c r="Z78" s="385">
        <v>30000</v>
      </c>
      <c r="AA78" s="442" t="s">
        <v>439</v>
      </c>
      <c r="AB78" s="145">
        <v>200000</v>
      </c>
      <c r="AC78" s="146" t="s">
        <v>427</v>
      </c>
      <c r="AD78" s="145">
        <v>312000</v>
      </c>
      <c r="AE78" s="146" t="s">
        <v>356</v>
      </c>
      <c r="AF78" s="385">
        <v>356000</v>
      </c>
      <c r="AG78" s="385" t="s">
        <v>735</v>
      </c>
      <c r="AL78" s="145">
        <f t="shared" si="20"/>
        <v>918000</v>
      </c>
      <c r="AO78" s="446">
        <f t="shared" si="24"/>
        <v>0</v>
      </c>
      <c r="AP78" s="385">
        <v>18095859769</v>
      </c>
      <c r="AT78" s="447">
        <f t="shared" si="21"/>
        <v>0</v>
      </c>
      <c r="AU78" s="142"/>
      <c r="BC78" s="145">
        <f t="shared" si="22"/>
        <v>918000</v>
      </c>
      <c r="BD78" s="395">
        <f t="shared" ref="BD78:BD81" si="26">1%+0.25%</f>
        <v>0.0125</v>
      </c>
      <c r="BQ78" s="385">
        <v>918000</v>
      </c>
      <c r="CJ78" s="385" t="s">
        <v>260</v>
      </c>
      <c r="CM78" s="385" t="s">
        <v>261</v>
      </c>
    </row>
    <row r="79" s="385" customFormat="1" ht="44" customHeight="1" spans="1:95">
      <c r="A79" s="385">
        <v>72</v>
      </c>
      <c r="C79" s="471">
        <v>45474</v>
      </c>
      <c r="D79" s="385">
        <v>20240003764</v>
      </c>
      <c r="E79" s="1026" t="s">
        <v>736</v>
      </c>
      <c r="F79" s="456" t="s">
        <v>730</v>
      </c>
      <c r="G79" s="142" t="s">
        <v>737</v>
      </c>
      <c r="I79" s="385" t="s">
        <v>254</v>
      </c>
      <c r="J79" s="385">
        <v>7</v>
      </c>
      <c r="K79" s="385">
        <v>50.67</v>
      </c>
      <c r="L79" s="385">
        <v>50.67</v>
      </c>
      <c r="M79" s="385">
        <v>18324.45</v>
      </c>
      <c r="N79" s="469">
        <v>918000</v>
      </c>
      <c r="O79" s="145">
        <v>18038</v>
      </c>
      <c r="Q79" s="385">
        <v>842201.83</v>
      </c>
      <c r="R79" s="1026" t="s">
        <v>738</v>
      </c>
      <c r="S79" s="471">
        <v>45756</v>
      </c>
      <c r="T79" s="145"/>
      <c r="U79" s="146"/>
      <c r="V79" s="1030" t="s">
        <v>739</v>
      </c>
      <c r="W79" s="146" t="s">
        <v>267</v>
      </c>
      <c r="X79" s="145">
        <v>25000</v>
      </c>
      <c r="Y79" s="440" t="s">
        <v>556</v>
      </c>
      <c r="Z79" s="385">
        <v>25000</v>
      </c>
      <c r="AA79" s="442" t="s">
        <v>714</v>
      </c>
      <c r="AB79" s="145">
        <f>688000+180000</f>
        <v>868000</v>
      </c>
      <c r="AC79" s="146" t="s">
        <v>356</v>
      </c>
      <c r="AL79" s="145">
        <f t="shared" si="20"/>
        <v>918000</v>
      </c>
      <c r="AO79" s="446">
        <f t="shared" si="24"/>
        <v>0</v>
      </c>
      <c r="AP79" s="385">
        <v>18095859769</v>
      </c>
      <c r="AT79" s="447">
        <f t="shared" si="21"/>
        <v>0</v>
      </c>
      <c r="AU79" s="142"/>
      <c r="BC79" s="145">
        <f t="shared" si="22"/>
        <v>918000</v>
      </c>
      <c r="BD79" s="395">
        <f t="shared" si="26"/>
        <v>0.0125</v>
      </c>
      <c r="BQ79" s="385">
        <v>918000</v>
      </c>
      <c r="CJ79" s="385" t="s">
        <v>260</v>
      </c>
      <c r="CM79" s="385" t="s">
        <v>261</v>
      </c>
    </row>
    <row r="80" s="385" customFormat="1" customHeight="1" spans="1:95">
      <c r="A80" s="385">
        <v>73</v>
      </c>
      <c r="C80" s="471">
        <v>45440</v>
      </c>
      <c r="D80" s="385">
        <v>20240003156</v>
      </c>
      <c r="E80" s="1026" t="s">
        <v>740</v>
      </c>
      <c r="F80" s="456" t="s">
        <v>741</v>
      </c>
      <c r="G80" s="385" t="s">
        <v>742</v>
      </c>
      <c r="I80" s="385" t="s">
        <v>254</v>
      </c>
      <c r="J80" s="385">
        <v>8</v>
      </c>
      <c r="K80" s="385">
        <v>50.67</v>
      </c>
      <c r="L80" s="385">
        <v>50.67</v>
      </c>
      <c r="M80" s="604">
        <v>18324.45</v>
      </c>
      <c r="N80" s="469">
        <v>915750</v>
      </c>
      <c r="O80" s="145">
        <v>18038</v>
      </c>
      <c r="Q80" s="385">
        <v>840137.61</v>
      </c>
      <c r="R80" s="1026" t="s">
        <v>743</v>
      </c>
      <c r="S80" s="471">
        <v>45756</v>
      </c>
      <c r="T80" s="145"/>
      <c r="U80" s="146"/>
      <c r="V80" s="1028" t="s">
        <v>744</v>
      </c>
      <c r="W80" s="146" t="s">
        <v>656</v>
      </c>
      <c r="X80" s="145">
        <f>2000+2000</f>
        <v>4000</v>
      </c>
      <c r="Y80" s="440" t="s">
        <v>625</v>
      </c>
      <c r="Z80" s="145">
        <v>16000</v>
      </c>
      <c r="AA80" s="146" t="s">
        <v>745</v>
      </c>
      <c r="AB80" s="385">
        <v>230000</v>
      </c>
      <c r="AC80" s="442" t="s">
        <v>715</v>
      </c>
      <c r="AD80" s="145">
        <v>100000</v>
      </c>
      <c r="AE80" s="146" t="s">
        <v>547</v>
      </c>
      <c r="AF80" s="145">
        <v>200000</v>
      </c>
      <c r="AG80" s="146" t="s">
        <v>746</v>
      </c>
      <c r="AH80" s="145">
        <v>365750</v>
      </c>
      <c r="AI80" s="146" t="s">
        <v>747</v>
      </c>
      <c r="AL80" s="145">
        <f t="shared" si="20"/>
        <v>915750</v>
      </c>
      <c r="AO80" s="446">
        <f t="shared" si="24"/>
        <v>0</v>
      </c>
      <c r="AP80" s="385">
        <v>13029623486</v>
      </c>
      <c r="AT80" s="447">
        <f t="shared" si="21"/>
        <v>0</v>
      </c>
      <c r="AU80" s="142"/>
      <c r="BC80" s="145">
        <f t="shared" si="22"/>
        <v>915750</v>
      </c>
      <c r="BD80" s="395">
        <f t="shared" si="25"/>
        <v>0.0143</v>
      </c>
      <c r="BY80" s="385">
        <v>915750</v>
      </c>
      <c r="CJ80" s="385" t="s">
        <v>260</v>
      </c>
      <c r="CM80" s="385" t="s">
        <v>261</v>
      </c>
    </row>
    <row r="81" s="385" customFormat="1" customHeight="1" spans="1:91">
      <c r="A81" s="385">
        <v>74</v>
      </c>
      <c r="C81" s="471">
        <v>45520</v>
      </c>
      <c r="D81" s="385">
        <v>20240004709</v>
      </c>
      <c r="E81" s="1026" t="s">
        <v>748</v>
      </c>
      <c r="F81" s="456" t="s">
        <v>749</v>
      </c>
      <c r="G81" s="385" t="s">
        <v>750</v>
      </c>
      <c r="I81" s="385" t="s">
        <v>254</v>
      </c>
      <c r="J81" s="385">
        <v>9</v>
      </c>
      <c r="K81" s="385">
        <v>50.67</v>
      </c>
      <c r="L81" s="385">
        <v>50.67</v>
      </c>
      <c r="M81" s="604">
        <v>18324.45</v>
      </c>
      <c r="N81" s="469">
        <v>933000</v>
      </c>
      <c r="O81" s="145">
        <v>18135</v>
      </c>
      <c r="Q81" s="442">
        <v>855963.3</v>
      </c>
      <c r="R81" s="1026" t="s">
        <v>751</v>
      </c>
      <c r="S81" s="471">
        <v>45769</v>
      </c>
      <c r="T81" s="145"/>
      <c r="U81" s="146"/>
      <c r="V81" s="448"/>
      <c r="W81" s="146" t="s">
        <v>752</v>
      </c>
      <c r="X81" s="145">
        <v>2000</v>
      </c>
      <c r="Y81" s="440" t="s">
        <v>753</v>
      </c>
      <c r="Z81" s="145">
        <v>18000</v>
      </c>
      <c r="AA81" s="146" t="s">
        <v>270</v>
      </c>
      <c r="AB81" s="145">
        <v>453000</v>
      </c>
      <c r="AC81" s="146" t="s">
        <v>754</v>
      </c>
      <c r="AD81" s="145">
        <v>460000</v>
      </c>
      <c r="AE81" s="146" t="s">
        <v>581</v>
      </c>
      <c r="AL81" s="145">
        <f t="shared" si="20"/>
        <v>933000</v>
      </c>
      <c r="AO81" s="446">
        <f t="shared" si="24"/>
        <v>0</v>
      </c>
      <c r="AP81" s="385">
        <v>13565065448</v>
      </c>
      <c r="AT81" s="447">
        <f t="shared" si="21"/>
        <v>0</v>
      </c>
      <c r="AU81" s="142"/>
      <c r="BC81" s="145">
        <f t="shared" si="22"/>
        <v>933000</v>
      </c>
      <c r="BD81" s="395">
        <f t="shared" si="26"/>
        <v>0.0125</v>
      </c>
      <c r="BR81" s="385">
        <v>473000</v>
      </c>
      <c r="BS81" s="385">
        <v>460000</v>
      </c>
      <c r="CJ81" s="385" t="s">
        <v>260</v>
      </c>
      <c r="CM81" s="385" t="s">
        <v>261</v>
      </c>
    </row>
    <row r="82" s="385" customFormat="1" ht="45" customHeight="1" spans="1:91">
      <c r="A82" s="385">
        <v>75</v>
      </c>
      <c r="B82" s="385"/>
      <c r="C82" s="471">
        <v>45567</v>
      </c>
      <c r="D82" s="385">
        <v>20240005641</v>
      </c>
      <c r="E82" s="1026" t="s">
        <v>755</v>
      </c>
      <c r="F82" s="456" t="s">
        <v>756</v>
      </c>
      <c r="G82" s="142" t="s">
        <v>757</v>
      </c>
      <c r="I82" s="385" t="s">
        <v>254</v>
      </c>
      <c r="J82" s="385">
        <v>10</v>
      </c>
      <c r="K82" s="385">
        <v>77.44</v>
      </c>
      <c r="L82" s="385">
        <v>77.44</v>
      </c>
      <c r="M82" s="385">
        <v>20000</v>
      </c>
      <c r="N82" s="469">
        <v>1548800</v>
      </c>
      <c r="O82" s="145">
        <v>22000</v>
      </c>
      <c r="P82" s="385"/>
      <c r="Q82" s="385">
        <v>1420917.43</v>
      </c>
      <c r="R82" s="1026" t="s">
        <v>758</v>
      </c>
      <c r="S82" s="471">
        <v>45590</v>
      </c>
      <c r="T82" s="145"/>
      <c r="U82" s="146"/>
      <c r="V82" s="468"/>
      <c r="W82" s="440" t="s">
        <v>294</v>
      </c>
      <c r="X82" s="145">
        <v>200000</v>
      </c>
      <c r="Y82" s="440">
        <v>45563</v>
      </c>
      <c r="Z82" s="145">
        <v>1327000</v>
      </c>
      <c r="AA82" s="146">
        <v>45565</v>
      </c>
      <c r="AB82" s="145">
        <v>21800</v>
      </c>
      <c r="AC82" s="146" t="s">
        <v>258</v>
      </c>
      <c r="AL82" s="145">
        <f t="shared" si="20"/>
        <v>1548800</v>
      </c>
      <c r="AO82" s="446">
        <f t="shared" si="24"/>
        <v>0</v>
      </c>
      <c r="AP82" s="385">
        <v>15999019972</v>
      </c>
      <c r="AT82" s="447">
        <f t="shared" si="21"/>
        <v>400</v>
      </c>
      <c r="AU82" s="447">
        <f>200</f>
        <v>200</v>
      </c>
      <c r="AV82" s="145"/>
      <c r="AW82" s="145">
        <v>200</v>
      </c>
      <c r="AX82" s="145"/>
      <c r="AY82" s="145"/>
      <c r="AZ82" s="145"/>
      <c r="BA82" s="145"/>
      <c r="BB82" s="145"/>
      <c r="BC82" s="145">
        <f t="shared" si="22"/>
        <v>1548800</v>
      </c>
      <c r="BD82" s="140">
        <f>1%+0.2%</f>
        <v>0.012</v>
      </c>
      <c r="BE82" s="145"/>
      <c r="BF82" s="145"/>
      <c r="BG82" s="145"/>
      <c r="BH82" s="145"/>
      <c r="BI82" s="145"/>
      <c r="BJ82" s="145"/>
      <c r="BK82" s="145"/>
      <c r="BL82" s="145"/>
      <c r="BM82" s="145"/>
      <c r="BN82" s="145"/>
      <c r="BO82" s="145"/>
      <c r="BP82" s="145"/>
      <c r="BQ82" s="145"/>
      <c r="BR82" s="145"/>
      <c r="BS82" s="145"/>
      <c r="BT82" s="145"/>
      <c r="BU82" s="145">
        <v>1548800</v>
      </c>
      <c r="BV82" s="145"/>
      <c r="BW82" s="145"/>
      <c r="BX82" s="145"/>
      <c r="BY82" s="145"/>
      <c r="BZ82" s="145"/>
      <c r="CA82" s="145"/>
      <c r="CB82" s="145"/>
      <c r="CC82" s="145"/>
      <c r="CD82" s="145"/>
      <c r="CE82" s="145"/>
      <c r="CF82" s="145"/>
      <c r="CG82" s="145"/>
      <c r="CH82" s="385"/>
      <c r="CJ82" s="385" t="s">
        <v>260</v>
      </c>
      <c r="CM82" s="385" t="s">
        <v>261</v>
      </c>
    </row>
    <row r="83" s="385" customFormat="1" customHeight="1" spans="1:91">
      <c r="A83" s="385">
        <v>76</v>
      </c>
      <c r="C83" s="471">
        <v>45485</v>
      </c>
      <c r="D83" s="385">
        <v>20240003988</v>
      </c>
      <c r="E83" s="1026" t="s">
        <v>759</v>
      </c>
      <c r="F83" s="456" t="s">
        <v>760</v>
      </c>
      <c r="G83" s="385" t="s">
        <v>761</v>
      </c>
      <c r="I83" s="385" t="s">
        <v>361</v>
      </c>
      <c r="J83" s="385">
        <v>1</v>
      </c>
      <c r="K83" s="385">
        <v>49.47</v>
      </c>
      <c r="L83" s="385">
        <v>49.47</v>
      </c>
      <c r="M83" s="385">
        <v>7883</v>
      </c>
      <c r="N83" s="469">
        <v>390000</v>
      </c>
      <c r="O83" s="145">
        <v>7752</v>
      </c>
      <c r="Q83" s="385">
        <v>357798.17</v>
      </c>
      <c r="R83" s="1026" t="s">
        <v>762</v>
      </c>
      <c r="S83" s="471">
        <v>45743</v>
      </c>
      <c r="T83" s="145"/>
      <c r="U83" s="146"/>
      <c r="V83" s="1030" t="s">
        <v>763</v>
      </c>
      <c r="W83" s="146" t="s">
        <v>277</v>
      </c>
      <c r="X83" s="145">
        <v>2000</v>
      </c>
      <c r="Y83" s="440" t="s">
        <v>527</v>
      </c>
      <c r="Z83" s="145">
        <v>13000</v>
      </c>
      <c r="AA83" s="146" t="s">
        <v>745</v>
      </c>
      <c r="AB83" s="145">
        <v>100000</v>
      </c>
      <c r="AC83" s="146" t="s">
        <v>764</v>
      </c>
      <c r="AD83" s="145">
        <v>80000</v>
      </c>
      <c r="AE83" s="146" t="s">
        <v>765</v>
      </c>
      <c r="AF83" s="145">
        <v>85000</v>
      </c>
      <c r="AG83" s="146" t="s">
        <v>357</v>
      </c>
      <c r="AH83" s="145">
        <v>110000</v>
      </c>
      <c r="AI83" s="146" t="s">
        <v>258</v>
      </c>
      <c r="AL83" s="145">
        <f t="shared" si="20"/>
        <v>390000</v>
      </c>
      <c r="AO83" s="446">
        <f t="shared" si="24"/>
        <v>0</v>
      </c>
      <c r="AP83" s="385">
        <v>18799829152</v>
      </c>
      <c r="AT83" s="447">
        <f t="shared" si="21"/>
        <v>0</v>
      </c>
      <c r="AU83" s="142"/>
      <c r="BC83" s="145">
        <f t="shared" si="22"/>
        <v>390000</v>
      </c>
      <c r="BD83" s="395">
        <f>1%+0.18%+0.25%</f>
        <v>0.0143</v>
      </c>
      <c r="BT83" s="385">
        <v>390000</v>
      </c>
      <c r="CJ83" s="385" t="s">
        <v>260</v>
      </c>
      <c r="CM83" s="385" t="s">
        <v>261</v>
      </c>
    </row>
    <row r="84" s="385" customFormat="1" customHeight="1" spans="1:91">
      <c r="A84" s="385">
        <v>77</v>
      </c>
      <c r="B84" s="385"/>
      <c r="C84" s="471">
        <v>45568</v>
      </c>
      <c r="D84" s="385">
        <v>20240005749</v>
      </c>
      <c r="E84" s="1026" t="s">
        <v>766</v>
      </c>
      <c r="F84" s="456" t="s">
        <v>767</v>
      </c>
      <c r="G84" s="385" t="s">
        <v>768</v>
      </c>
      <c r="I84" s="385" t="s">
        <v>361</v>
      </c>
      <c r="J84" s="385">
        <v>2</v>
      </c>
      <c r="K84" s="385">
        <v>57.71</v>
      </c>
      <c r="L84" s="385">
        <v>57.71</v>
      </c>
      <c r="M84" s="385">
        <v>7000</v>
      </c>
      <c r="N84" s="469">
        <v>403970</v>
      </c>
      <c r="O84" s="145">
        <v>7668</v>
      </c>
      <c r="P84" s="385"/>
      <c r="Q84" s="385">
        <v>370614.68</v>
      </c>
      <c r="R84" s="1026" t="s">
        <v>769</v>
      </c>
      <c r="S84" s="471">
        <v>45590</v>
      </c>
      <c r="T84" s="145"/>
      <c r="U84" s="146"/>
      <c r="V84" s="146"/>
      <c r="W84" s="146" t="s">
        <v>257</v>
      </c>
      <c r="X84" s="145">
        <v>20000</v>
      </c>
      <c r="Y84" s="440" t="s">
        <v>258</v>
      </c>
      <c r="Z84" s="145">
        <v>183970</v>
      </c>
      <c r="AA84" s="442" t="s">
        <v>770</v>
      </c>
      <c r="AB84" s="385">
        <v>200000</v>
      </c>
      <c r="AC84" s="442" t="s">
        <v>771</v>
      </c>
      <c r="AL84" s="145">
        <f t="shared" si="20"/>
        <v>403970</v>
      </c>
      <c r="AO84" s="446">
        <f t="shared" si="24"/>
        <v>0</v>
      </c>
      <c r="AP84" s="385">
        <v>15352620619</v>
      </c>
      <c r="AT84" s="447">
        <f t="shared" si="21"/>
        <v>0</v>
      </c>
      <c r="AU84" s="142"/>
      <c r="BC84" s="145">
        <f t="shared" si="22"/>
        <v>403970</v>
      </c>
      <c r="BD84" s="140">
        <f>1%+0.18%+0.2%</f>
        <v>0.0138</v>
      </c>
      <c r="BU84" s="385">
        <v>403970</v>
      </c>
      <c r="CJ84" s="385" t="s">
        <v>260</v>
      </c>
      <c r="CM84" s="385" t="s">
        <v>261</v>
      </c>
    </row>
    <row r="85" s="385" customFormat="1" customHeight="1" spans="1:91">
      <c r="A85" s="385">
        <v>78</v>
      </c>
      <c r="B85" s="385"/>
      <c r="C85" s="471">
        <v>45570</v>
      </c>
      <c r="D85" s="385">
        <v>20240005929</v>
      </c>
      <c r="F85" s="456" t="s">
        <v>772</v>
      </c>
      <c r="G85" s="385" t="s">
        <v>773</v>
      </c>
      <c r="I85" s="385" t="s">
        <v>361</v>
      </c>
      <c r="J85" s="385">
        <v>3</v>
      </c>
      <c r="K85" s="385">
        <v>57.71</v>
      </c>
      <c r="L85" s="385">
        <v>57.71</v>
      </c>
      <c r="M85" s="385">
        <v>7451.05</v>
      </c>
      <c r="N85" s="469">
        <v>430000</v>
      </c>
      <c r="O85" s="145">
        <v>7753</v>
      </c>
      <c r="P85" s="385"/>
      <c r="Q85" s="385">
        <v>394495.41</v>
      </c>
      <c r="R85" s="1026" t="s">
        <v>774</v>
      </c>
      <c r="S85" s="471">
        <v>45582</v>
      </c>
      <c r="T85" s="145"/>
      <c r="U85" s="146"/>
      <c r="V85" s="146"/>
      <c r="W85" s="146" t="s">
        <v>561</v>
      </c>
      <c r="X85" s="145">
        <v>80000</v>
      </c>
      <c r="Y85" s="440" t="s">
        <v>400</v>
      </c>
      <c r="Z85" s="145">
        <v>350000</v>
      </c>
      <c r="AA85" s="442" t="s">
        <v>775</v>
      </c>
      <c r="AC85" s="442"/>
      <c r="AL85" s="145">
        <f t="shared" si="20"/>
        <v>430000</v>
      </c>
      <c r="AO85" s="446">
        <f t="shared" si="24"/>
        <v>0</v>
      </c>
      <c r="AP85" s="385">
        <v>13565038253</v>
      </c>
      <c r="AT85" s="447">
        <f t="shared" si="21"/>
        <v>0</v>
      </c>
      <c r="AU85" s="142"/>
      <c r="BC85" s="145">
        <f t="shared" si="22"/>
        <v>430000</v>
      </c>
      <c r="BD85" s="540">
        <f>0.8%+0.15%+0.2%+0.03%</f>
        <v>0.0118</v>
      </c>
      <c r="BU85" s="385">
        <v>430000</v>
      </c>
      <c r="CJ85" s="385" t="s">
        <v>260</v>
      </c>
      <c r="CM85" s="385" t="s">
        <v>261</v>
      </c>
    </row>
    <row r="86" s="385" customFormat="1" customHeight="1" spans="1:91">
      <c r="A86" s="385">
        <v>79</v>
      </c>
      <c r="B86" s="385"/>
      <c r="C86" s="471">
        <v>45614</v>
      </c>
      <c r="D86" s="385">
        <v>20240006684</v>
      </c>
      <c r="F86" s="456" t="s">
        <v>776</v>
      </c>
      <c r="G86" s="385" t="s">
        <v>777</v>
      </c>
      <c r="I86" s="385" t="s">
        <v>361</v>
      </c>
      <c r="J86" s="385">
        <v>4</v>
      </c>
      <c r="K86" s="385">
        <v>57.71</v>
      </c>
      <c r="L86" s="385">
        <v>57.71</v>
      </c>
      <c r="M86" s="385">
        <v>7700</v>
      </c>
      <c r="N86" s="469">
        <v>444367</v>
      </c>
      <c r="O86" s="145">
        <v>7923</v>
      </c>
      <c r="P86" s="385"/>
      <c r="Q86" s="385">
        <v>407676.15</v>
      </c>
      <c r="R86" s="1026" t="s">
        <v>778</v>
      </c>
      <c r="S86" s="471">
        <v>45644</v>
      </c>
      <c r="T86" s="145"/>
      <c r="U86" s="146"/>
      <c r="V86" s="146"/>
      <c r="W86" s="146" t="s">
        <v>380</v>
      </c>
      <c r="X86" s="145">
        <v>20000</v>
      </c>
      <c r="Y86" s="440" t="s">
        <v>779</v>
      </c>
      <c r="Z86" s="145">
        <v>204367</v>
      </c>
      <c r="AA86" s="442"/>
      <c r="AB86" s="145">
        <v>25000</v>
      </c>
      <c r="AC86" s="385" t="s">
        <v>394</v>
      </c>
      <c r="AD86" s="385">
        <v>195000</v>
      </c>
      <c r="AE86" s="442" t="s">
        <v>780</v>
      </c>
      <c r="AL86" s="145">
        <f t="shared" si="20"/>
        <v>444367</v>
      </c>
      <c r="AO86" s="446">
        <f t="shared" si="24"/>
        <v>0</v>
      </c>
      <c r="AP86" s="385">
        <v>18799988676</v>
      </c>
      <c r="AT86" s="447">
        <f t="shared" si="21"/>
        <v>0</v>
      </c>
      <c r="AU86" s="142"/>
      <c r="BC86" s="145">
        <f t="shared" si="22"/>
        <v>444367</v>
      </c>
      <c r="BD86" s="140">
        <f>1%+0.18%+0.25%+0.03%</f>
        <v>0.0146</v>
      </c>
      <c r="BU86" s="385">
        <v>224367</v>
      </c>
      <c r="BW86" s="385">
        <v>220000</v>
      </c>
      <c r="CJ86" s="385" t="s">
        <v>260</v>
      </c>
      <c r="CM86" s="385" t="s">
        <v>261</v>
      </c>
    </row>
    <row r="87" s="385" customFormat="1" customHeight="1" spans="1:91">
      <c r="A87" s="385">
        <v>80</v>
      </c>
      <c r="B87" s="385"/>
      <c r="C87" s="471">
        <v>45673</v>
      </c>
      <c r="D87" s="385">
        <v>20250000304</v>
      </c>
      <c r="E87" s="1026" t="s">
        <v>781</v>
      </c>
      <c r="F87" s="456" t="s">
        <v>782</v>
      </c>
      <c r="G87" s="385" t="s">
        <v>783</v>
      </c>
      <c r="I87" s="385" t="s">
        <v>361</v>
      </c>
      <c r="J87" s="385">
        <v>5</v>
      </c>
      <c r="K87" s="385">
        <v>57.71</v>
      </c>
      <c r="L87" s="385">
        <v>57.71</v>
      </c>
      <c r="M87" s="385">
        <v>7700</v>
      </c>
      <c r="N87" s="469">
        <v>444367</v>
      </c>
      <c r="O87" s="145">
        <v>8008</v>
      </c>
      <c r="P87" s="385"/>
      <c r="Q87" s="385">
        <v>407676.15</v>
      </c>
      <c r="R87" s="1026" t="s">
        <v>784</v>
      </c>
      <c r="S87" s="471">
        <v>45698</v>
      </c>
      <c r="T87" s="145"/>
      <c r="U87" s="146"/>
      <c r="V87" s="146"/>
      <c r="W87" s="146" t="s">
        <v>380</v>
      </c>
      <c r="X87" s="145">
        <v>20000</v>
      </c>
      <c r="Y87" s="440" t="s">
        <v>278</v>
      </c>
      <c r="Z87" s="145">
        <v>204367</v>
      </c>
      <c r="AA87" s="146" t="s">
        <v>785</v>
      </c>
      <c r="AB87" s="145">
        <v>220000</v>
      </c>
      <c r="AC87" s="146" t="s">
        <v>786</v>
      </c>
      <c r="AL87" s="145">
        <f t="shared" si="20"/>
        <v>444367</v>
      </c>
      <c r="AO87" s="446">
        <f t="shared" si="24"/>
        <v>0</v>
      </c>
      <c r="AP87" s="385">
        <v>13309969267</v>
      </c>
      <c r="AT87" s="447">
        <f t="shared" si="21"/>
        <v>0</v>
      </c>
      <c r="AU87" s="142"/>
      <c r="BC87" s="145">
        <f t="shared" si="22"/>
        <v>444367</v>
      </c>
      <c r="BD87" s="140">
        <f>1%+0.18%+0.25%+0.03%</f>
        <v>0.0146</v>
      </c>
      <c r="BW87" s="385">
        <v>224367</v>
      </c>
      <c r="BY87" s="385">
        <v>220000</v>
      </c>
      <c r="CJ87" s="385" t="s">
        <v>260</v>
      </c>
      <c r="CM87" s="385" t="s">
        <v>261</v>
      </c>
    </row>
    <row r="88" s="385" customFormat="1" customHeight="1" spans="1:91">
      <c r="A88" s="385">
        <v>81</v>
      </c>
      <c r="B88" s="385"/>
      <c r="C88" s="471">
        <v>45666</v>
      </c>
      <c r="D88" s="385">
        <v>20250000147</v>
      </c>
      <c r="F88" s="456" t="s">
        <v>787</v>
      </c>
      <c r="G88" s="385" t="s">
        <v>788</v>
      </c>
      <c r="I88" s="385" t="s">
        <v>361</v>
      </c>
      <c r="J88" s="385">
        <v>6</v>
      </c>
      <c r="K88" s="385">
        <v>57.71</v>
      </c>
      <c r="L88" s="385">
        <v>57.71</v>
      </c>
      <c r="M88" s="385">
        <v>8124.9</v>
      </c>
      <c r="N88" s="469">
        <v>468888</v>
      </c>
      <c r="O88" s="145">
        <v>8094</v>
      </c>
      <c r="Q88" s="385">
        <v>430172.48</v>
      </c>
      <c r="R88" s="1026" t="s">
        <v>789</v>
      </c>
      <c r="S88" s="471">
        <v>45671</v>
      </c>
      <c r="T88" s="145"/>
      <c r="U88" s="146"/>
      <c r="V88" s="146"/>
      <c r="W88" s="146" t="s">
        <v>370</v>
      </c>
      <c r="X88" s="145">
        <v>20000</v>
      </c>
      <c r="Y88" s="440" t="s">
        <v>790</v>
      </c>
      <c r="Z88" s="145">
        <v>448888</v>
      </c>
      <c r="AA88" s="146" t="s">
        <v>541</v>
      </c>
      <c r="AC88" s="442"/>
      <c r="AL88" s="145">
        <f t="shared" si="20"/>
        <v>468888</v>
      </c>
      <c r="AO88" s="446">
        <f t="shared" si="24"/>
        <v>0</v>
      </c>
      <c r="AP88" s="385">
        <v>15299379609</v>
      </c>
      <c r="AQ88" s="385" t="s">
        <v>386</v>
      </c>
      <c r="AT88" s="447">
        <f t="shared" si="21"/>
        <v>0</v>
      </c>
      <c r="AU88" s="142"/>
      <c r="BC88" s="145">
        <f t="shared" si="22"/>
        <v>468888</v>
      </c>
      <c r="BD88" s="140">
        <f>0.8%+0.18%+0.25%+0.03%</f>
        <v>0.0126</v>
      </c>
      <c r="BW88" s="385">
        <v>468888</v>
      </c>
      <c r="CJ88" s="385" t="s">
        <v>260</v>
      </c>
      <c r="CM88" s="385" t="s">
        <v>261</v>
      </c>
    </row>
    <row r="89" s="385" customFormat="1" customHeight="1" spans="1:91">
      <c r="A89" s="385">
        <v>82</v>
      </c>
      <c r="B89" s="385"/>
      <c r="C89" s="471">
        <v>45748</v>
      </c>
      <c r="D89" s="385">
        <v>20250001757</v>
      </c>
      <c r="F89" s="456" t="s">
        <v>791</v>
      </c>
      <c r="G89" s="385" t="s">
        <v>792</v>
      </c>
      <c r="I89" s="385" t="s">
        <v>361</v>
      </c>
      <c r="J89" s="385">
        <v>7</v>
      </c>
      <c r="K89" s="385">
        <v>57.71</v>
      </c>
      <c r="L89" s="385">
        <v>57.71</v>
      </c>
      <c r="M89" s="385">
        <v>8000</v>
      </c>
      <c r="N89" s="469">
        <v>461680</v>
      </c>
      <c r="O89" s="145">
        <v>8000</v>
      </c>
      <c r="P89" s="385"/>
      <c r="Q89" s="385">
        <v>423559.63</v>
      </c>
      <c r="R89" s="1031" t="s">
        <v>793</v>
      </c>
      <c r="S89" s="471">
        <v>45748</v>
      </c>
      <c r="T89" s="145"/>
      <c r="U89" s="146"/>
      <c r="V89" s="146"/>
      <c r="W89" s="146" t="s">
        <v>546</v>
      </c>
      <c r="X89" s="145">
        <v>20000</v>
      </c>
      <c r="Y89" s="440" t="s">
        <v>794</v>
      </c>
      <c r="Z89" s="145">
        <v>441680</v>
      </c>
      <c r="AA89" s="146" t="s">
        <v>795</v>
      </c>
      <c r="AC89" s="442"/>
      <c r="AL89" s="145">
        <f t="shared" si="20"/>
        <v>461680</v>
      </c>
      <c r="AO89" s="446">
        <f t="shared" si="24"/>
        <v>0</v>
      </c>
      <c r="AP89" s="1026" t="s">
        <v>796</v>
      </c>
      <c r="AQ89" s="385" t="s">
        <v>574</v>
      </c>
      <c r="AT89" s="447">
        <f t="shared" si="21"/>
        <v>0</v>
      </c>
      <c r="AU89" s="142"/>
      <c r="BC89" s="145">
        <f t="shared" si="22"/>
        <v>461680</v>
      </c>
      <c r="BD89" s="140">
        <f t="shared" ref="BD89:BD92" si="27">1%+0.25%+0.03%</f>
        <v>0.0128</v>
      </c>
      <c r="BZ89" s="385">
        <v>461680</v>
      </c>
      <c r="CJ89" s="385" t="s">
        <v>260</v>
      </c>
      <c r="CM89" s="385" t="s">
        <v>261</v>
      </c>
    </row>
    <row r="90" s="385" customFormat="1" customHeight="1" spans="1:91">
      <c r="A90" s="385">
        <v>83</v>
      </c>
      <c r="B90" s="385"/>
      <c r="C90" s="471">
        <v>45748</v>
      </c>
      <c r="D90" s="385">
        <v>20250001759</v>
      </c>
      <c r="F90" s="456" t="s">
        <v>791</v>
      </c>
      <c r="G90" s="385" t="s">
        <v>792</v>
      </c>
      <c r="I90" s="385" t="s">
        <v>361</v>
      </c>
      <c r="J90" s="385">
        <v>8</v>
      </c>
      <c r="K90" s="385">
        <v>57.71</v>
      </c>
      <c r="L90" s="385">
        <v>57.71</v>
      </c>
      <c r="M90" s="385">
        <v>8000</v>
      </c>
      <c r="N90" s="469">
        <v>461680</v>
      </c>
      <c r="O90" s="145">
        <v>8000</v>
      </c>
      <c r="P90" s="385"/>
      <c r="Q90" s="385">
        <v>423559.63</v>
      </c>
      <c r="R90" s="1026" t="s">
        <v>797</v>
      </c>
      <c r="S90" s="471">
        <v>45748</v>
      </c>
      <c r="T90" s="145"/>
      <c r="U90" s="146"/>
      <c r="V90" s="146"/>
      <c r="W90" s="146" t="s">
        <v>546</v>
      </c>
      <c r="X90" s="145">
        <v>20000</v>
      </c>
      <c r="Y90" s="440" t="s">
        <v>794</v>
      </c>
      <c r="Z90" s="145">
        <v>441680</v>
      </c>
      <c r="AA90" s="146" t="s">
        <v>795</v>
      </c>
      <c r="AC90" s="442"/>
      <c r="AL90" s="145">
        <f t="shared" si="20"/>
        <v>461680</v>
      </c>
      <c r="AO90" s="446">
        <f t="shared" si="24"/>
        <v>0</v>
      </c>
      <c r="AP90" s="1026" t="s">
        <v>796</v>
      </c>
      <c r="AQ90" s="385" t="s">
        <v>574</v>
      </c>
      <c r="AT90" s="447">
        <f t="shared" si="21"/>
        <v>0</v>
      </c>
      <c r="AU90" s="142"/>
      <c r="BC90" s="145">
        <f t="shared" si="22"/>
        <v>461680</v>
      </c>
      <c r="BD90" s="140">
        <f t="shared" si="27"/>
        <v>0.0128</v>
      </c>
      <c r="BZ90" s="385">
        <v>461680</v>
      </c>
      <c r="CJ90" s="385" t="s">
        <v>260</v>
      </c>
      <c r="CM90" s="385" t="s">
        <v>261</v>
      </c>
    </row>
    <row r="91" s="385" customFormat="1" customHeight="1" spans="1:91">
      <c r="A91" s="385">
        <v>84</v>
      </c>
      <c r="B91" s="385"/>
      <c r="C91" s="471">
        <v>45748</v>
      </c>
      <c r="D91" s="385">
        <v>20250001761</v>
      </c>
      <c r="F91" s="456" t="s">
        <v>791</v>
      </c>
      <c r="G91" s="385" t="s">
        <v>792</v>
      </c>
      <c r="I91" s="385" t="s">
        <v>361</v>
      </c>
      <c r="J91" s="385">
        <v>9</v>
      </c>
      <c r="K91" s="385">
        <v>57.71</v>
      </c>
      <c r="L91" s="385">
        <v>57.71</v>
      </c>
      <c r="M91" s="385">
        <v>8000</v>
      </c>
      <c r="N91" s="469">
        <v>461680</v>
      </c>
      <c r="O91" s="145">
        <v>8000</v>
      </c>
      <c r="P91" s="385"/>
      <c r="Q91" s="385">
        <v>423559.63</v>
      </c>
      <c r="R91" s="1026" t="s">
        <v>798</v>
      </c>
      <c r="S91" s="471">
        <v>45748</v>
      </c>
      <c r="T91" s="145"/>
      <c r="U91" s="146"/>
      <c r="V91" s="146"/>
      <c r="W91" s="146" t="s">
        <v>546</v>
      </c>
      <c r="X91" s="145">
        <v>20000</v>
      </c>
      <c r="Y91" s="440" t="s">
        <v>794</v>
      </c>
      <c r="Z91" s="145">
        <v>441680</v>
      </c>
      <c r="AA91" s="146" t="s">
        <v>795</v>
      </c>
      <c r="AC91" s="442"/>
      <c r="AL91" s="145">
        <f t="shared" si="20"/>
        <v>461680</v>
      </c>
      <c r="AO91" s="446">
        <f t="shared" si="24"/>
        <v>0</v>
      </c>
      <c r="AP91" s="1026" t="s">
        <v>796</v>
      </c>
      <c r="AQ91" s="385" t="s">
        <v>574</v>
      </c>
      <c r="AT91" s="447">
        <f t="shared" si="21"/>
        <v>0</v>
      </c>
      <c r="AU91" s="142"/>
      <c r="BC91" s="145">
        <f t="shared" si="22"/>
        <v>461680</v>
      </c>
      <c r="BD91" s="140">
        <f t="shared" si="27"/>
        <v>0.0128</v>
      </c>
      <c r="BZ91" s="385">
        <v>461680</v>
      </c>
      <c r="CJ91" s="385" t="s">
        <v>260</v>
      </c>
      <c r="CM91" s="385" t="s">
        <v>261</v>
      </c>
    </row>
    <row r="92" s="385" customFormat="1" customHeight="1" spans="1:91">
      <c r="A92" s="385">
        <v>85</v>
      </c>
      <c r="B92" s="385"/>
      <c r="C92" s="471">
        <v>45748</v>
      </c>
      <c r="D92" s="385">
        <v>20250001762</v>
      </c>
      <c r="F92" s="456" t="s">
        <v>799</v>
      </c>
      <c r="G92" s="385" t="s">
        <v>800</v>
      </c>
      <c r="I92" s="385" t="s">
        <v>361</v>
      </c>
      <c r="J92" s="385">
        <v>10</v>
      </c>
      <c r="K92" s="385">
        <v>88.2</v>
      </c>
      <c r="L92" s="385">
        <v>88.2</v>
      </c>
      <c r="M92" s="448">
        <v>7936.51</v>
      </c>
      <c r="N92" s="469">
        <v>700000</v>
      </c>
      <c r="O92" s="145">
        <v>7936.51</v>
      </c>
      <c r="P92" s="385"/>
      <c r="Q92" s="385">
        <v>642201.83</v>
      </c>
      <c r="R92" s="1026" t="s">
        <v>801</v>
      </c>
      <c r="S92" s="471">
        <v>45748</v>
      </c>
      <c r="T92" s="145"/>
      <c r="U92" s="146"/>
      <c r="V92" s="146"/>
      <c r="W92" s="146" t="s">
        <v>546</v>
      </c>
      <c r="X92" s="145">
        <v>20000</v>
      </c>
      <c r="Y92" s="440" t="s">
        <v>794</v>
      </c>
      <c r="Z92" s="145">
        <f>300000+330000+50000</f>
        <v>680000</v>
      </c>
      <c r="AA92" s="146" t="s">
        <v>795</v>
      </c>
      <c r="AC92" s="442"/>
      <c r="AL92" s="145">
        <f t="shared" si="20"/>
        <v>700000</v>
      </c>
      <c r="AO92" s="446">
        <f t="shared" si="24"/>
        <v>0</v>
      </c>
      <c r="AP92" s="385">
        <v>15109960089</v>
      </c>
      <c r="AQ92" s="385" t="s">
        <v>574</v>
      </c>
      <c r="AT92" s="447">
        <f t="shared" si="21"/>
        <v>0</v>
      </c>
      <c r="AU92" s="142"/>
      <c r="BC92" s="145">
        <f t="shared" si="22"/>
        <v>700000</v>
      </c>
      <c r="BD92" s="140">
        <f t="shared" si="27"/>
        <v>0.0128</v>
      </c>
      <c r="BZ92" s="385">
        <v>700000</v>
      </c>
      <c r="CJ92" s="385" t="s">
        <v>260</v>
      </c>
      <c r="CM92" s="385" t="s">
        <v>261</v>
      </c>
    </row>
    <row r="93" s="385" customFormat="1" ht="50" customHeight="1" spans="1:91">
      <c r="A93" s="385">
        <v>86</v>
      </c>
      <c r="C93" s="471">
        <v>45133</v>
      </c>
      <c r="D93" s="385">
        <v>20230006321</v>
      </c>
      <c r="E93" s="1026" t="s">
        <v>802</v>
      </c>
      <c r="F93" s="456" t="s">
        <v>803</v>
      </c>
      <c r="G93" s="142" t="s">
        <v>804</v>
      </c>
      <c r="H93" s="385" t="s">
        <v>805</v>
      </c>
      <c r="I93" s="385" t="s">
        <v>254</v>
      </c>
      <c r="J93" s="385">
        <v>1</v>
      </c>
      <c r="K93" s="385">
        <v>43.2</v>
      </c>
      <c r="L93" s="385">
        <v>43.2</v>
      </c>
      <c r="M93" s="385">
        <v>27823.06</v>
      </c>
      <c r="N93" s="469">
        <v>1201957</v>
      </c>
      <c r="O93" s="145">
        <v>27160</v>
      </c>
      <c r="Q93" s="385">
        <v>1102712.84</v>
      </c>
      <c r="R93" s="1026" t="s">
        <v>806</v>
      </c>
      <c r="S93" s="471">
        <v>45765</v>
      </c>
      <c r="T93" s="145"/>
      <c r="U93" s="440"/>
      <c r="V93" s="440"/>
      <c r="W93" s="440" t="s">
        <v>807</v>
      </c>
      <c r="X93" s="145">
        <f>100000</f>
        <v>100000</v>
      </c>
      <c r="Y93" s="440" t="s">
        <v>808</v>
      </c>
      <c r="Z93" s="145">
        <v>150000</v>
      </c>
      <c r="AA93" s="442" t="s">
        <v>809</v>
      </c>
      <c r="AB93" s="145">
        <f>348400+3000</f>
        <v>351400</v>
      </c>
      <c r="AC93" s="440" t="s">
        <v>810</v>
      </c>
      <c r="AD93" s="145">
        <v>600000</v>
      </c>
      <c r="AE93" s="440" t="s">
        <v>581</v>
      </c>
      <c r="AF93" s="385">
        <v>557</v>
      </c>
      <c r="AG93" s="146">
        <v>45562</v>
      </c>
      <c r="AL93" s="145">
        <f t="shared" ref="AL93:AL124" si="28">X93+Z93+AB93+AD93+AF93+AH93+AJ93</f>
        <v>1201957</v>
      </c>
      <c r="AO93" s="605">
        <f t="shared" si="24"/>
        <v>0</v>
      </c>
      <c r="AP93" s="385">
        <v>13899058276</v>
      </c>
      <c r="AT93" s="447">
        <f t="shared" si="21"/>
        <v>1600</v>
      </c>
      <c r="AU93" s="447">
        <f>200+200+200</f>
        <v>600</v>
      </c>
      <c r="AV93" s="145">
        <f>200+200+200+200</f>
        <v>800</v>
      </c>
      <c r="AW93" s="145">
        <v>200</v>
      </c>
      <c r="AX93" s="145"/>
      <c r="AY93" s="145"/>
      <c r="AZ93" s="145"/>
      <c r="BA93" s="145"/>
      <c r="BB93" s="145"/>
      <c r="BC93" s="145">
        <f t="shared" si="22"/>
        <v>1201400</v>
      </c>
      <c r="BD93" s="540">
        <f t="shared" ref="BD93:BD95" si="29">1%+0.18%+0.25%</f>
        <v>0.0143</v>
      </c>
      <c r="BE93" s="145">
        <v>601400</v>
      </c>
      <c r="BF93" s="145"/>
      <c r="BG93" s="145"/>
      <c r="BH93" s="145"/>
      <c r="BI93" s="145"/>
      <c r="BJ93" s="145"/>
      <c r="BK93" s="145"/>
      <c r="BL93" s="145"/>
      <c r="BM93" s="145"/>
      <c r="BN93" s="145"/>
      <c r="BO93" s="145"/>
      <c r="BP93" s="145"/>
      <c r="BQ93" s="145"/>
      <c r="BR93" s="145"/>
      <c r="BS93" s="145">
        <v>600000</v>
      </c>
      <c r="BT93" s="145"/>
      <c r="BU93" s="145"/>
      <c r="BV93" s="145"/>
      <c r="BW93" s="145"/>
      <c r="BX93" s="145"/>
      <c r="BY93" s="145"/>
      <c r="BZ93" s="145"/>
      <c r="CA93" s="145"/>
      <c r="CB93" s="145"/>
      <c r="CC93" s="145"/>
      <c r="CD93" s="145"/>
      <c r="CE93" s="145"/>
      <c r="CF93" s="145"/>
      <c r="CG93" s="145"/>
      <c r="CH93" s="385"/>
      <c r="CJ93" s="385" t="s">
        <v>260</v>
      </c>
      <c r="CK93" s="385" t="s">
        <v>271</v>
      </c>
      <c r="CM93" s="385" t="s">
        <v>261</v>
      </c>
    </row>
    <row r="94" s="385" customFormat="1" customHeight="1" spans="1:91">
      <c r="A94" s="385">
        <v>87</v>
      </c>
      <c r="C94" s="471">
        <v>45133</v>
      </c>
      <c r="D94" s="385">
        <v>20230006322</v>
      </c>
      <c r="E94" s="1026" t="s">
        <v>811</v>
      </c>
      <c r="F94" s="456" t="s">
        <v>803</v>
      </c>
      <c r="G94" s="142" t="s">
        <v>804</v>
      </c>
      <c r="I94" s="385" t="s">
        <v>254</v>
      </c>
      <c r="J94" s="385">
        <v>2</v>
      </c>
      <c r="K94" s="385">
        <v>42.69</v>
      </c>
      <c r="L94" s="385">
        <v>42.69</v>
      </c>
      <c r="M94" s="385">
        <v>25861.15</v>
      </c>
      <c r="N94" s="469">
        <v>1104012</v>
      </c>
      <c r="O94" s="145">
        <v>25198.09</v>
      </c>
      <c r="Q94" s="385">
        <v>1012855.05</v>
      </c>
      <c r="R94" s="1026" t="s">
        <v>812</v>
      </c>
      <c r="S94" s="471">
        <v>45765</v>
      </c>
      <c r="T94" s="145"/>
      <c r="U94" s="440"/>
      <c r="V94" s="440" t="s">
        <v>813</v>
      </c>
      <c r="W94" s="440" t="s">
        <v>807</v>
      </c>
      <c r="X94" s="145">
        <f>100000</f>
        <v>100000</v>
      </c>
      <c r="Y94" s="440" t="s">
        <v>808</v>
      </c>
      <c r="Z94" s="145">
        <v>150000</v>
      </c>
      <c r="AA94" s="442" t="s">
        <v>809</v>
      </c>
      <c r="AB94" s="145">
        <f>302495</f>
        <v>302495</v>
      </c>
      <c r="AC94" s="440" t="s">
        <v>810</v>
      </c>
      <c r="AD94" s="145">
        <v>551000</v>
      </c>
      <c r="AE94" s="440">
        <v>45561</v>
      </c>
      <c r="AF94" s="385">
        <v>517</v>
      </c>
      <c r="AG94" s="146">
        <v>45562</v>
      </c>
      <c r="AL94" s="145">
        <f t="shared" si="28"/>
        <v>1104012</v>
      </c>
      <c r="AO94" s="605">
        <f t="shared" ref="AO94:AO102" si="30">N94-AL94</f>
        <v>0</v>
      </c>
      <c r="AP94" s="385">
        <v>13899058276</v>
      </c>
      <c r="AT94" s="447">
        <f t="shared" si="21"/>
        <v>900</v>
      </c>
      <c r="AU94" s="447">
        <v>200</v>
      </c>
      <c r="AV94" s="145">
        <f>200+200</f>
        <v>400</v>
      </c>
      <c r="AW94" s="145"/>
      <c r="AX94" s="145"/>
      <c r="AY94" s="145"/>
      <c r="AZ94" s="145"/>
      <c r="BA94" s="145">
        <v>300</v>
      </c>
      <c r="BB94" s="145"/>
      <c r="BC94" s="145">
        <f t="shared" si="22"/>
        <v>1103495</v>
      </c>
      <c r="BD94" s="540">
        <f t="shared" si="29"/>
        <v>0.0143</v>
      </c>
      <c r="BE94" s="145">
        <v>552495</v>
      </c>
      <c r="BF94" s="145"/>
      <c r="BG94" s="145"/>
      <c r="BH94" s="145"/>
      <c r="BI94" s="145"/>
      <c r="BJ94" s="145"/>
      <c r="BK94" s="145"/>
      <c r="BL94" s="145"/>
      <c r="BM94" s="145"/>
      <c r="BN94" s="145"/>
      <c r="BO94" s="145"/>
      <c r="BP94" s="145"/>
      <c r="BQ94" s="145"/>
      <c r="BR94" s="145"/>
      <c r="BS94" s="145">
        <v>551000</v>
      </c>
      <c r="BT94" s="145"/>
      <c r="BU94" s="145"/>
      <c r="BV94" s="145"/>
      <c r="BW94" s="145"/>
      <c r="BX94" s="145"/>
      <c r="BY94" s="145"/>
      <c r="BZ94" s="145"/>
      <c r="CA94" s="145"/>
      <c r="CB94" s="145"/>
      <c r="CC94" s="145"/>
      <c r="CD94" s="145"/>
      <c r="CE94" s="145"/>
      <c r="CF94" s="145"/>
      <c r="CG94" s="145"/>
      <c r="CH94" s="385"/>
      <c r="CJ94" s="385" t="s">
        <v>260</v>
      </c>
      <c r="CK94" s="385" t="s">
        <v>271</v>
      </c>
      <c r="CM94" s="385" t="s">
        <v>261</v>
      </c>
    </row>
    <row r="95" s="385" customFormat="1" ht="57" customHeight="1" spans="1:91">
      <c r="A95" s="385">
        <v>88</v>
      </c>
      <c r="C95" s="471">
        <v>45133</v>
      </c>
      <c r="D95" s="385">
        <v>20230006323</v>
      </c>
      <c r="E95" s="1026" t="s">
        <v>814</v>
      </c>
      <c r="F95" s="456" t="s">
        <v>803</v>
      </c>
      <c r="G95" s="142" t="s">
        <v>804</v>
      </c>
      <c r="I95" s="385" t="s">
        <v>254</v>
      </c>
      <c r="J95" s="385">
        <v>3</v>
      </c>
      <c r="K95" s="385">
        <v>42.69</v>
      </c>
      <c r="L95" s="385">
        <v>42.69</v>
      </c>
      <c r="M95" s="385">
        <v>25391.04</v>
      </c>
      <c r="N95" s="469">
        <v>1083944</v>
      </c>
      <c r="O95" s="145">
        <v>24727.98</v>
      </c>
      <c r="Q95" s="385">
        <v>994444.04</v>
      </c>
      <c r="R95" s="1026" t="s">
        <v>815</v>
      </c>
      <c r="S95" s="471">
        <v>45765</v>
      </c>
      <c r="T95" s="145"/>
      <c r="U95" s="440"/>
      <c r="V95" s="440" t="s">
        <v>816</v>
      </c>
      <c r="W95" s="440" t="s">
        <v>817</v>
      </c>
      <c r="X95" s="145">
        <f>100000+5000-5000</f>
        <v>100000</v>
      </c>
      <c r="Y95" s="440" t="s">
        <v>818</v>
      </c>
      <c r="Z95" s="145">
        <f>150000-100000</f>
        <v>50000</v>
      </c>
      <c r="AA95" s="442" t="s">
        <v>809</v>
      </c>
      <c r="AB95" s="145">
        <v>392436</v>
      </c>
      <c r="AC95" s="440" t="s">
        <v>810</v>
      </c>
      <c r="AD95" s="145">
        <v>541000</v>
      </c>
      <c r="AE95" s="440">
        <v>45561</v>
      </c>
      <c r="AF95" s="385">
        <v>508</v>
      </c>
      <c r="AG95" s="146">
        <v>45562</v>
      </c>
      <c r="AL95" s="145">
        <f t="shared" si="28"/>
        <v>1083944</v>
      </c>
      <c r="AO95" s="605">
        <f t="shared" si="30"/>
        <v>0</v>
      </c>
      <c r="AP95" s="385">
        <v>13899058276</v>
      </c>
      <c r="AT95" s="447">
        <f t="shared" si="21"/>
        <v>700</v>
      </c>
      <c r="AU95" s="447">
        <f>200</f>
        <v>200</v>
      </c>
      <c r="AV95" s="145">
        <v>200</v>
      </c>
      <c r="AW95" s="145"/>
      <c r="AX95" s="145"/>
      <c r="AY95" s="145"/>
      <c r="AZ95" s="145"/>
      <c r="BA95" s="145">
        <v>300</v>
      </c>
      <c r="BB95" s="145"/>
      <c r="BC95" s="145">
        <f t="shared" si="22"/>
        <v>1083436</v>
      </c>
      <c r="BD95" s="540">
        <f t="shared" si="29"/>
        <v>0.0143</v>
      </c>
      <c r="BE95" s="145">
        <v>542436</v>
      </c>
      <c r="BF95" s="145"/>
      <c r="BG95" s="145"/>
      <c r="BH95" s="145"/>
      <c r="BI95" s="145"/>
      <c r="BJ95" s="145"/>
      <c r="BK95" s="145"/>
      <c r="BL95" s="145"/>
      <c r="BM95" s="145"/>
      <c r="BN95" s="145"/>
      <c r="BO95" s="145"/>
      <c r="BP95" s="145"/>
      <c r="BQ95" s="145"/>
      <c r="BR95" s="145"/>
      <c r="BS95" s="145">
        <v>541000</v>
      </c>
      <c r="BT95" s="145"/>
      <c r="BU95" s="145"/>
      <c r="BV95" s="145"/>
      <c r="BW95" s="145"/>
      <c r="BX95" s="145"/>
      <c r="BY95" s="145"/>
      <c r="BZ95" s="145"/>
      <c r="CA95" s="145"/>
      <c r="CB95" s="145"/>
      <c r="CC95" s="145"/>
      <c r="CD95" s="145"/>
      <c r="CE95" s="145"/>
      <c r="CF95" s="145"/>
      <c r="CG95" s="145"/>
      <c r="CH95" s="385"/>
      <c r="CJ95" s="385" t="s">
        <v>260</v>
      </c>
      <c r="CK95" s="385" t="s">
        <v>271</v>
      </c>
      <c r="CM95" s="385" t="s">
        <v>261</v>
      </c>
    </row>
    <row r="96" s="385" customFormat="1" ht="42" customHeight="1" spans="1:91">
      <c r="A96" s="385">
        <v>89</v>
      </c>
      <c r="C96" s="471">
        <v>45137</v>
      </c>
      <c r="D96" s="385">
        <v>20230006451</v>
      </c>
      <c r="E96" s="1026" t="s">
        <v>819</v>
      </c>
      <c r="F96" s="456" t="s">
        <v>820</v>
      </c>
      <c r="G96" s="142" t="s">
        <v>821</v>
      </c>
      <c r="I96" s="385" t="s">
        <v>254</v>
      </c>
      <c r="J96" s="385">
        <v>4</v>
      </c>
      <c r="K96" s="385">
        <v>42.69</v>
      </c>
      <c r="L96" s="385">
        <v>42.69</v>
      </c>
      <c r="M96" s="385">
        <v>24945.91</v>
      </c>
      <c r="N96" s="469">
        <v>1064941</v>
      </c>
      <c r="O96" s="145">
        <v>24445.91</v>
      </c>
      <c r="Q96" s="385">
        <v>977010.09</v>
      </c>
      <c r="R96" s="1026" t="s">
        <v>822</v>
      </c>
      <c r="S96" s="471">
        <v>45765</v>
      </c>
      <c r="T96" s="145"/>
      <c r="U96" s="440"/>
      <c r="V96" s="440" t="s">
        <v>823</v>
      </c>
      <c r="W96" s="440" t="s">
        <v>824</v>
      </c>
      <c r="X96" s="145">
        <f>5000+10000</f>
        <v>15000</v>
      </c>
      <c r="Y96" s="440" t="s">
        <v>825</v>
      </c>
      <c r="Z96" s="145">
        <v>50000</v>
      </c>
      <c r="AA96" s="442" t="s">
        <v>342</v>
      </c>
      <c r="AB96" s="145">
        <v>469442</v>
      </c>
      <c r="AC96" s="440" t="s">
        <v>826</v>
      </c>
      <c r="AD96" s="145">
        <v>220000</v>
      </c>
      <c r="AE96" s="440" t="s">
        <v>827</v>
      </c>
      <c r="AF96" s="145">
        <v>310000</v>
      </c>
      <c r="AG96" s="440" t="s">
        <v>828</v>
      </c>
      <c r="AL96" s="145">
        <f t="shared" si="28"/>
        <v>1064442</v>
      </c>
      <c r="AO96" s="605">
        <f t="shared" si="30"/>
        <v>499</v>
      </c>
      <c r="AP96" s="385">
        <v>19999196289</v>
      </c>
      <c r="AT96" s="447">
        <f t="shared" si="21"/>
        <v>1100</v>
      </c>
      <c r="AU96" s="447"/>
      <c r="AV96" s="145">
        <f>200+200</f>
        <v>400</v>
      </c>
      <c r="AW96" s="145">
        <v>200</v>
      </c>
      <c r="AX96" s="145"/>
      <c r="AY96" s="145">
        <v>200</v>
      </c>
      <c r="AZ96" s="145"/>
      <c r="BA96" s="145">
        <v>300</v>
      </c>
      <c r="BB96" s="145"/>
      <c r="BC96" s="145">
        <f t="shared" si="22"/>
        <v>1064442</v>
      </c>
      <c r="BD96" s="540">
        <f>1%+0.25%</f>
        <v>0.0125</v>
      </c>
      <c r="BE96" s="145">
        <v>534442</v>
      </c>
      <c r="BF96" s="145"/>
      <c r="BG96" s="145"/>
      <c r="BH96" s="145"/>
      <c r="BI96" s="145"/>
      <c r="BJ96" s="145"/>
      <c r="BK96" s="145">
        <v>530000</v>
      </c>
      <c r="BL96" s="145"/>
      <c r="BM96" s="145"/>
      <c r="BN96" s="145"/>
      <c r="BO96" s="145"/>
      <c r="BP96" s="145"/>
      <c r="BQ96" s="145"/>
      <c r="BR96" s="145"/>
      <c r="BS96" s="145"/>
      <c r="BT96" s="145"/>
      <c r="BU96" s="145"/>
      <c r="BV96" s="145"/>
      <c r="BW96" s="145"/>
      <c r="BX96" s="145"/>
      <c r="BY96" s="145"/>
      <c r="BZ96" s="145"/>
      <c r="CA96" s="145"/>
      <c r="CB96" s="145"/>
      <c r="CC96" s="145"/>
      <c r="CD96" s="145"/>
      <c r="CE96" s="145"/>
      <c r="CF96" s="145"/>
      <c r="CG96" s="145"/>
      <c r="CH96" s="385"/>
      <c r="CJ96" s="385" t="s">
        <v>260</v>
      </c>
      <c r="CK96" s="385" t="s">
        <v>271</v>
      </c>
      <c r="CM96" s="385" t="s">
        <v>261</v>
      </c>
    </row>
    <row r="97" s="385" customFormat="1" ht="48" customHeight="1" spans="1:91">
      <c r="A97" s="385">
        <v>90</v>
      </c>
      <c r="C97" s="471">
        <v>45204</v>
      </c>
      <c r="D97" s="385">
        <v>20230008712</v>
      </c>
      <c r="E97" s="1026" t="s">
        <v>829</v>
      </c>
      <c r="F97" s="456" t="s">
        <v>830</v>
      </c>
      <c r="G97" s="142" t="s">
        <v>831</v>
      </c>
      <c r="I97" s="385" t="s">
        <v>254</v>
      </c>
      <c r="J97" s="385">
        <v>5</v>
      </c>
      <c r="K97" s="385">
        <v>42.69</v>
      </c>
      <c r="L97" s="385">
        <v>42.69</v>
      </c>
      <c r="M97" s="385">
        <v>24963.84</v>
      </c>
      <c r="N97" s="469">
        <v>1065707</v>
      </c>
      <c r="O97" s="145">
        <v>24163.84</v>
      </c>
      <c r="Q97" s="385">
        <v>977712.84</v>
      </c>
      <c r="R97" s="1026" t="s">
        <v>832</v>
      </c>
      <c r="S97" s="471">
        <v>45765</v>
      </c>
      <c r="T97" s="145"/>
      <c r="U97" s="440"/>
      <c r="V97" s="440" t="s">
        <v>833</v>
      </c>
      <c r="W97" s="440" t="s">
        <v>834</v>
      </c>
      <c r="X97" s="145">
        <f>10000+10000+5000-5000+50000</f>
        <v>70000</v>
      </c>
      <c r="Y97" s="440" t="s">
        <v>835</v>
      </c>
      <c r="Z97" s="145">
        <v>200000</v>
      </c>
      <c r="AA97" s="440" t="s">
        <v>836</v>
      </c>
      <c r="AB97" s="145">
        <v>250000</v>
      </c>
      <c r="AC97" s="440" t="s">
        <v>837</v>
      </c>
      <c r="AD97" s="385">
        <v>15207</v>
      </c>
      <c r="AE97" s="385" t="s">
        <v>471</v>
      </c>
      <c r="AF97" s="145">
        <v>530000</v>
      </c>
      <c r="AG97" s="440" t="s">
        <v>838</v>
      </c>
      <c r="AH97" s="145">
        <v>500</v>
      </c>
      <c r="AI97" s="440" t="s">
        <v>839</v>
      </c>
      <c r="AL97" s="145">
        <f t="shared" si="28"/>
        <v>1065707</v>
      </c>
      <c r="AO97" s="446">
        <f t="shared" si="30"/>
        <v>0</v>
      </c>
      <c r="AP97" s="446">
        <v>18997603797</v>
      </c>
      <c r="AT97" s="447">
        <f t="shared" si="21"/>
        <v>2400</v>
      </c>
      <c r="AU97" s="447">
        <f>200</f>
        <v>200</v>
      </c>
      <c r="AV97" s="145">
        <v>200</v>
      </c>
      <c r="AW97" s="145">
        <v>200</v>
      </c>
      <c r="AX97" s="145">
        <f>200+200</f>
        <v>400</v>
      </c>
      <c r="AY97" s="145">
        <f>200+200+200</f>
        <v>600</v>
      </c>
      <c r="AZ97" s="145">
        <v>200</v>
      </c>
      <c r="BA97" s="145">
        <f>300+300</f>
        <v>600</v>
      </c>
      <c r="BB97" s="145"/>
      <c r="BC97" s="145">
        <f t="shared" si="22"/>
        <v>1065207</v>
      </c>
      <c r="BD97" s="540">
        <f>1%+0.25%</f>
        <v>0.0125</v>
      </c>
      <c r="BE97" s="145"/>
      <c r="BF97" s="145"/>
      <c r="BG97" s="145"/>
      <c r="BH97" s="145">
        <v>535207</v>
      </c>
      <c r="BI97" s="145">
        <v>530000</v>
      </c>
      <c r="BJ97" s="145"/>
      <c r="BK97" s="145"/>
      <c r="BL97" s="145"/>
      <c r="BM97" s="145"/>
      <c r="BN97" s="145"/>
      <c r="BO97" s="145"/>
      <c r="BP97" s="145"/>
      <c r="BQ97" s="145"/>
      <c r="BR97" s="145"/>
      <c r="BS97" s="145"/>
      <c r="BT97" s="145"/>
      <c r="BU97" s="145"/>
      <c r="BV97" s="145"/>
      <c r="BW97" s="145"/>
      <c r="BX97" s="145"/>
      <c r="BY97" s="145"/>
      <c r="BZ97" s="145"/>
      <c r="CA97" s="145"/>
      <c r="CB97" s="145"/>
      <c r="CC97" s="145"/>
      <c r="CD97" s="145"/>
      <c r="CE97" s="145"/>
      <c r="CF97" s="145"/>
      <c r="CG97" s="145"/>
      <c r="CH97" s="385"/>
      <c r="CJ97" s="385" t="s">
        <v>260</v>
      </c>
      <c r="CK97" s="385" t="s">
        <v>271</v>
      </c>
      <c r="CM97" s="385" t="s">
        <v>261</v>
      </c>
    </row>
    <row r="98" s="385" customFormat="1" customHeight="1" spans="1:91">
      <c r="A98" s="385">
        <v>91</v>
      </c>
      <c r="C98" s="471">
        <v>45642</v>
      </c>
      <c r="D98" s="385">
        <v>20240007261</v>
      </c>
      <c r="E98" s="1026" t="s">
        <v>840</v>
      </c>
      <c r="F98" s="456" t="s">
        <v>841</v>
      </c>
      <c r="G98" s="142" t="s">
        <v>842</v>
      </c>
      <c r="I98" s="385" t="s">
        <v>254</v>
      </c>
      <c r="J98" s="385">
        <v>6</v>
      </c>
      <c r="K98" s="385">
        <v>29.05</v>
      </c>
      <c r="L98" s="385">
        <v>29.05</v>
      </c>
      <c r="M98" s="385">
        <v>24307</v>
      </c>
      <c r="N98" s="469">
        <v>706118</v>
      </c>
      <c r="O98" s="145">
        <v>24163.84</v>
      </c>
      <c r="Q98" s="385">
        <v>647814.68</v>
      </c>
      <c r="R98" s="1026" t="s">
        <v>843</v>
      </c>
      <c r="S98" s="471">
        <v>45653</v>
      </c>
      <c r="T98" s="145"/>
      <c r="U98" s="440"/>
      <c r="V98" s="440" t="s">
        <v>844</v>
      </c>
      <c r="W98" s="440" t="s">
        <v>845</v>
      </c>
      <c r="X98" s="145">
        <f>10000+10000</f>
        <v>20000</v>
      </c>
      <c r="Y98" s="440" t="s">
        <v>846</v>
      </c>
      <c r="Z98" s="145">
        <v>30000</v>
      </c>
      <c r="AA98" s="442" t="s">
        <v>342</v>
      </c>
      <c r="AB98" s="145">
        <v>318262</v>
      </c>
      <c r="AC98" s="440" t="s">
        <v>847</v>
      </c>
      <c r="AD98" s="145">
        <v>337856</v>
      </c>
      <c r="AE98" s="440" t="s">
        <v>848</v>
      </c>
      <c r="AL98" s="145">
        <f t="shared" si="28"/>
        <v>706118</v>
      </c>
      <c r="AO98" s="446">
        <f t="shared" si="30"/>
        <v>0</v>
      </c>
      <c r="AP98" s="385">
        <v>13699330699</v>
      </c>
      <c r="AT98" s="447">
        <f t="shared" si="21"/>
        <v>0</v>
      </c>
      <c r="AU98" s="447"/>
      <c r="AV98" s="145"/>
      <c r="AW98" s="145"/>
      <c r="AX98" s="145"/>
      <c r="AY98" s="145"/>
      <c r="AZ98" s="145"/>
      <c r="BA98" s="145"/>
      <c r="BB98" s="145"/>
      <c r="BC98" s="145">
        <f t="shared" si="22"/>
        <v>706118</v>
      </c>
      <c r="BD98" s="540">
        <f>1%+0.25%</f>
        <v>0.0125</v>
      </c>
      <c r="BE98" s="145"/>
      <c r="BF98" s="145"/>
      <c r="BG98" s="145"/>
      <c r="BH98" s="145"/>
      <c r="BI98" s="145"/>
      <c r="BJ98" s="145"/>
      <c r="BK98" s="145"/>
      <c r="BL98" s="145"/>
      <c r="BM98" s="145"/>
      <c r="BN98" s="145"/>
      <c r="BO98" s="145"/>
      <c r="BP98" s="145"/>
      <c r="BQ98" s="145"/>
      <c r="BR98" s="145"/>
      <c r="BS98" s="145"/>
      <c r="BT98" s="145"/>
      <c r="BU98" s="145"/>
      <c r="BV98" s="145">
        <v>706118</v>
      </c>
      <c r="BW98" s="145"/>
      <c r="BX98" s="145"/>
      <c r="BY98" s="145"/>
      <c r="BZ98" s="145"/>
      <c r="CA98" s="145"/>
      <c r="CB98" s="145"/>
      <c r="CC98" s="145"/>
      <c r="CD98" s="145"/>
      <c r="CE98" s="145"/>
      <c r="CF98" s="145"/>
      <c r="CG98" s="145"/>
      <c r="CH98" s="385"/>
      <c r="CJ98" s="385" t="s">
        <v>260</v>
      </c>
      <c r="CM98" s="385" t="s">
        <v>261</v>
      </c>
    </row>
    <row r="99" s="385" customFormat="1" customHeight="1" spans="1:91">
      <c r="A99" s="385">
        <v>92</v>
      </c>
      <c r="C99" s="471">
        <v>45199</v>
      </c>
      <c r="D99" s="385">
        <v>20230008395</v>
      </c>
      <c r="E99" s="1026" t="s">
        <v>849</v>
      </c>
      <c r="F99" s="456" t="s">
        <v>841</v>
      </c>
      <c r="G99" s="142" t="s">
        <v>850</v>
      </c>
      <c r="I99" s="385" t="s">
        <v>254</v>
      </c>
      <c r="J99" s="385">
        <v>7</v>
      </c>
      <c r="K99" s="385">
        <v>42.69</v>
      </c>
      <c r="L99" s="385">
        <v>42.69</v>
      </c>
      <c r="M99" s="385">
        <v>24213.8</v>
      </c>
      <c r="N99" s="469">
        <v>1033687</v>
      </c>
      <c r="O99" s="145">
        <v>24069.82</v>
      </c>
      <c r="P99" s="385"/>
      <c r="Q99" s="385">
        <v>948336.7</v>
      </c>
      <c r="R99" s="1026" t="s">
        <v>851</v>
      </c>
      <c r="S99" s="471">
        <v>45653</v>
      </c>
      <c r="T99" s="145"/>
      <c r="U99" s="440"/>
      <c r="V99" s="440"/>
      <c r="W99" s="440" t="s">
        <v>845</v>
      </c>
      <c r="X99" s="145">
        <v>50000</v>
      </c>
      <c r="Y99" s="440" t="s">
        <v>342</v>
      </c>
      <c r="Z99" s="145">
        <v>33203</v>
      </c>
      <c r="AA99" s="440" t="s">
        <v>513</v>
      </c>
      <c r="AB99" s="145">
        <v>280000</v>
      </c>
      <c r="AC99" s="440" t="s">
        <v>314</v>
      </c>
      <c r="AD99" s="385">
        <v>150000</v>
      </c>
      <c r="AE99" s="385" t="s">
        <v>847</v>
      </c>
      <c r="AF99" s="145">
        <v>520484</v>
      </c>
      <c r="AG99" s="440" t="s">
        <v>848</v>
      </c>
      <c r="AL99" s="145">
        <f t="shared" si="28"/>
        <v>1033687</v>
      </c>
      <c r="AO99" s="446">
        <f t="shared" si="30"/>
        <v>0</v>
      </c>
      <c r="AP99" s="385">
        <v>13699330699</v>
      </c>
      <c r="AT99" s="447">
        <f t="shared" si="21"/>
        <v>0</v>
      </c>
      <c r="AU99" s="447"/>
      <c r="AV99" s="145"/>
      <c r="AW99" s="145"/>
      <c r="AX99" s="145"/>
      <c r="AY99" s="145"/>
      <c r="AZ99" s="145"/>
      <c r="BA99" s="145"/>
      <c r="BB99" s="145"/>
      <c r="BC99" s="145">
        <f t="shared" si="22"/>
        <v>1033687</v>
      </c>
      <c r="BD99" s="540">
        <f>1%+0.25%</f>
        <v>0.0125</v>
      </c>
      <c r="BE99" s="145"/>
      <c r="BF99" s="145"/>
      <c r="BG99" s="145"/>
      <c r="BH99" s="145"/>
      <c r="BI99" s="145"/>
      <c r="BJ99" s="145"/>
      <c r="BK99" s="145"/>
      <c r="BL99" s="145"/>
      <c r="BM99" s="145"/>
      <c r="BN99" s="145"/>
      <c r="BO99" s="145"/>
      <c r="BP99" s="145"/>
      <c r="BQ99" s="145"/>
      <c r="BR99" s="145"/>
      <c r="BS99" s="145"/>
      <c r="BT99" s="145"/>
      <c r="BU99" s="145"/>
      <c r="BV99" s="145">
        <v>1033687</v>
      </c>
      <c r="BW99" s="145"/>
      <c r="BX99" s="145"/>
      <c r="BY99" s="145"/>
      <c r="BZ99" s="145"/>
      <c r="CA99" s="145"/>
      <c r="CB99" s="145"/>
      <c r="CC99" s="145"/>
      <c r="CD99" s="145"/>
      <c r="CE99" s="145"/>
      <c r="CF99" s="145"/>
      <c r="CG99" s="145"/>
      <c r="CH99" s="385"/>
      <c r="CJ99" s="385" t="s">
        <v>260</v>
      </c>
      <c r="CK99" s="385" t="s">
        <v>271</v>
      </c>
      <c r="CM99" s="385" t="s">
        <v>261</v>
      </c>
    </row>
    <row r="100" s="385" customFormat="1" customHeight="1" spans="1:91">
      <c r="A100" s="385">
        <v>93</v>
      </c>
      <c r="C100" s="471">
        <v>45111</v>
      </c>
      <c r="D100" s="385">
        <v>20230005526</v>
      </c>
      <c r="E100" s="1026" t="s">
        <v>852</v>
      </c>
      <c r="F100" s="456" t="s">
        <v>853</v>
      </c>
      <c r="G100" s="142" t="s">
        <v>854</v>
      </c>
      <c r="I100" s="385" t="s">
        <v>254</v>
      </c>
      <c r="J100" s="385">
        <v>8</v>
      </c>
      <c r="K100" s="385">
        <v>42.69</v>
      </c>
      <c r="L100" s="385">
        <v>42.69</v>
      </c>
      <c r="M100" s="385">
        <v>24275.79</v>
      </c>
      <c r="N100" s="469">
        <v>1036333</v>
      </c>
      <c r="O100" s="145">
        <v>23975.79</v>
      </c>
      <c r="Q100" s="385">
        <v>950764.22</v>
      </c>
      <c r="R100" s="1026" t="s">
        <v>855</v>
      </c>
      <c r="S100" s="471">
        <v>45618</v>
      </c>
      <c r="T100" s="145"/>
      <c r="U100" s="440"/>
      <c r="V100" s="440" t="s">
        <v>856</v>
      </c>
      <c r="W100" s="440" t="s">
        <v>857</v>
      </c>
      <c r="X100" s="145">
        <v>5000</v>
      </c>
      <c r="Y100" s="440">
        <v>44762</v>
      </c>
      <c r="Z100" s="145">
        <v>100000</v>
      </c>
      <c r="AA100" s="442" t="s">
        <v>342</v>
      </c>
      <c r="AB100" s="145">
        <v>420848</v>
      </c>
      <c r="AC100" s="442" t="s">
        <v>858</v>
      </c>
      <c r="AD100" s="145">
        <v>110000</v>
      </c>
      <c r="AE100" s="440" t="s">
        <v>580</v>
      </c>
      <c r="AF100" s="145">
        <v>200000</v>
      </c>
      <c r="AG100" s="440" t="s">
        <v>859</v>
      </c>
      <c r="AH100" s="145">
        <v>200000</v>
      </c>
      <c r="AI100" s="440" t="s">
        <v>382</v>
      </c>
      <c r="AJ100" s="145">
        <v>485</v>
      </c>
      <c r="AK100" s="440" t="s">
        <v>839</v>
      </c>
      <c r="AL100" s="145">
        <f t="shared" si="28"/>
        <v>1036333</v>
      </c>
      <c r="AO100" s="446">
        <f t="shared" si="30"/>
        <v>0</v>
      </c>
      <c r="AP100" s="385">
        <v>14799095699</v>
      </c>
      <c r="AT100" s="447">
        <f t="shared" si="21"/>
        <v>0</v>
      </c>
      <c r="AU100" s="447"/>
      <c r="AV100" s="145"/>
      <c r="AW100" s="145"/>
      <c r="AX100" s="145"/>
      <c r="AY100" s="145"/>
      <c r="AZ100" s="145"/>
      <c r="BA100" s="145"/>
      <c r="BB100" s="145"/>
      <c r="BC100" s="145">
        <f t="shared" si="22"/>
        <v>1036333</v>
      </c>
      <c r="BD100" s="540">
        <f>1%+0.18%+0.25%</f>
        <v>0.0143</v>
      </c>
      <c r="BE100" s="145">
        <v>520848</v>
      </c>
      <c r="BF100" s="145"/>
      <c r="BG100" s="145"/>
      <c r="BH100" s="145"/>
      <c r="BI100" s="145"/>
      <c r="BJ100" s="145"/>
      <c r="BK100" s="145"/>
      <c r="BL100" s="145"/>
      <c r="BM100" s="145"/>
      <c r="BN100" s="145"/>
      <c r="BO100" s="145"/>
      <c r="BP100" s="145"/>
      <c r="BQ100" s="145"/>
      <c r="BR100" s="145"/>
      <c r="BS100" s="145"/>
      <c r="BT100" s="145">
        <v>835848</v>
      </c>
      <c r="BU100" s="145"/>
      <c r="BV100" s="145"/>
      <c r="BW100" s="145"/>
      <c r="BX100" s="145"/>
      <c r="BY100" s="145"/>
      <c r="BZ100" s="145"/>
      <c r="CA100" s="145"/>
      <c r="CB100" s="145">
        <v>-320363</v>
      </c>
      <c r="CC100" s="145"/>
      <c r="CD100" s="145"/>
      <c r="CE100" s="145"/>
      <c r="CF100" s="145"/>
      <c r="CG100" s="145"/>
      <c r="CH100" s="385"/>
      <c r="CJ100" s="385" t="s">
        <v>260</v>
      </c>
      <c r="CK100" s="385" t="s">
        <v>271</v>
      </c>
      <c r="CM100" s="385" t="s">
        <v>261</v>
      </c>
    </row>
    <row r="101" s="385" customFormat="1" customHeight="1" spans="1:91">
      <c r="A101" s="385">
        <v>94</v>
      </c>
      <c r="C101" s="471">
        <v>45570</v>
      </c>
      <c r="D101" s="385">
        <v>20240005898</v>
      </c>
      <c r="E101" s="1026" t="s">
        <v>860</v>
      </c>
      <c r="F101" s="456" t="s">
        <v>861</v>
      </c>
      <c r="G101" s="142" t="s">
        <v>862</v>
      </c>
      <c r="I101" s="385" t="s">
        <v>254</v>
      </c>
      <c r="J101" s="385">
        <v>9</v>
      </c>
      <c r="K101" s="385">
        <v>42.69</v>
      </c>
      <c r="L101" s="385">
        <v>42.69</v>
      </c>
      <c r="M101" s="385">
        <v>24181.77</v>
      </c>
      <c r="N101" s="469">
        <v>1032320</v>
      </c>
      <c r="O101" s="145">
        <v>23881.77</v>
      </c>
      <c r="Q101" s="385">
        <v>947082.57</v>
      </c>
      <c r="R101" s="1026" t="s">
        <v>863</v>
      </c>
      <c r="S101" s="471">
        <v>45765</v>
      </c>
      <c r="T101" s="145"/>
      <c r="U101" s="440"/>
      <c r="V101" s="440" t="s">
        <v>864</v>
      </c>
      <c r="W101" s="440" t="s">
        <v>865</v>
      </c>
      <c r="X101" s="145">
        <f>5000+5000</f>
        <v>10000</v>
      </c>
      <c r="Y101" s="440" t="s">
        <v>866</v>
      </c>
      <c r="Z101" s="145">
        <v>50000</v>
      </c>
      <c r="AA101" s="442" t="s">
        <v>342</v>
      </c>
      <c r="AB101" s="145">
        <v>140000</v>
      </c>
      <c r="AC101" s="442" t="s">
        <v>867</v>
      </c>
      <c r="AD101" s="145">
        <v>50000</v>
      </c>
      <c r="AE101" s="440" t="s">
        <v>526</v>
      </c>
      <c r="AF101" s="145">
        <v>100000</v>
      </c>
      <c r="AG101" s="440" t="s">
        <v>356</v>
      </c>
      <c r="AH101" s="145">
        <v>100000</v>
      </c>
      <c r="AI101" s="440">
        <v>45565</v>
      </c>
      <c r="AJ101" s="145">
        <f>484+100000+100000+130000+200000+51836</f>
        <v>582320</v>
      </c>
      <c r="AK101" s="440" t="s">
        <v>868</v>
      </c>
      <c r="AL101" s="145">
        <f t="shared" si="28"/>
        <v>1032320</v>
      </c>
      <c r="AO101" s="446">
        <f t="shared" si="30"/>
        <v>0</v>
      </c>
      <c r="AP101" s="385">
        <v>13999607739</v>
      </c>
      <c r="AT101" s="447">
        <f t="shared" si="21"/>
        <v>0</v>
      </c>
      <c r="AU101" s="447"/>
      <c r="AV101" s="145"/>
      <c r="AW101" s="145"/>
      <c r="AX101" s="145"/>
      <c r="AY101" s="145"/>
      <c r="AZ101" s="145"/>
      <c r="BA101" s="145"/>
      <c r="BB101" s="145"/>
      <c r="BC101" s="145">
        <f t="shared" si="22"/>
        <v>1032320</v>
      </c>
      <c r="BD101" s="540">
        <f>1%+0.25%</f>
        <v>0.0125</v>
      </c>
      <c r="BE101" s="145"/>
      <c r="BF101" s="145"/>
      <c r="BG101" s="145"/>
      <c r="BH101" s="145"/>
      <c r="BI101" s="145"/>
      <c r="BJ101" s="145"/>
      <c r="BK101" s="145"/>
      <c r="BL101" s="145"/>
      <c r="BM101" s="145"/>
      <c r="BN101" s="145"/>
      <c r="BO101" s="145"/>
      <c r="BP101" s="145"/>
      <c r="BQ101" s="145"/>
      <c r="BR101" s="145"/>
      <c r="BS101" s="145"/>
      <c r="BT101" s="145"/>
      <c r="BU101" s="145"/>
      <c r="BV101" s="145"/>
      <c r="BW101" s="145"/>
      <c r="BX101" s="145"/>
      <c r="BY101" s="145">
        <v>1032320</v>
      </c>
      <c r="BZ101" s="145"/>
      <c r="CA101" s="145"/>
      <c r="CB101" s="145"/>
      <c r="CC101" s="145"/>
      <c r="CD101" s="145"/>
      <c r="CE101" s="145"/>
      <c r="CF101" s="145"/>
      <c r="CG101" s="145"/>
      <c r="CH101" s="385"/>
      <c r="CJ101" s="385" t="s">
        <v>260</v>
      </c>
      <c r="CM101" s="385" t="s">
        <v>261</v>
      </c>
    </row>
    <row r="102" s="385" customFormat="1" customHeight="1" spans="1:91">
      <c r="A102" s="385">
        <v>95</v>
      </c>
      <c r="C102" s="471">
        <v>45108</v>
      </c>
      <c r="D102" s="385">
        <v>20230005458</v>
      </c>
      <c r="E102" s="1026" t="s">
        <v>869</v>
      </c>
      <c r="F102" s="456" t="s">
        <v>870</v>
      </c>
      <c r="G102" s="142" t="s">
        <v>871</v>
      </c>
      <c r="I102" s="385" t="s">
        <v>254</v>
      </c>
      <c r="J102" s="385">
        <v>10</v>
      </c>
      <c r="K102" s="385">
        <v>41.68</v>
      </c>
      <c r="L102" s="385">
        <v>41.68</v>
      </c>
      <c r="M102" s="385">
        <v>24669.16</v>
      </c>
      <c r="N102" s="469">
        <v>1028211</v>
      </c>
      <c r="O102" s="145">
        <v>24369.16</v>
      </c>
      <c r="Q102" s="385">
        <v>943312.84</v>
      </c>
      <c r="R102" s="1026" t="s">
        <v>872</v>
      </c>
      <c r="S102" s="471">
        <v>45618</v>
      </c>
      <c r="T102" s="145"/>
      <c r="U102" s="440"/>
      <c r="V102" s="385" t="s">
        <v>873</v>
      </c>
      <c r="W102" s="385" t="s">
        <v>874</v>
      </c>
      <c r="X102" s="145">
        <v>5000</v>
      </c>
      <c r="Y102" s="385" t="s">
        <v>875</v>
      </c>
      <c r="Z102" s="145">
        <v>45000</v>
      </c>
      <c r="AA102" s="442" t="s">
        <v>332</v>
      </c>
      <c r="AB102" s="145">
        <v>464717</v>
      </c>
      <c r="AC102" s="442" t="s">
        <v>876</v>
      </c>
      <c r="AD102" s="145">
        <f>84000+429000</f>
        <v>513000</v>
      </c>
      <c r="AE102" s="440" t="s">
        <v>472</v>
      </c>
      <c r="AF102" s="385"/>
      <c r="AG102" s="385"/>
      <c r="AL102" s="145">
        <f t="shared" si="28"/>
        <v>1027717</v>
      </c>
      <c r="AO102" s="446">
        <f t="shared" si="30"/>
        <v>494</v>
      </c>
      <c r="AP102" s="385">
        <v>18116973710</v>
      </c>
      <c r="AT102" s="447">
        <f t="shared" si="21"/>
        <v>700</v>
      </c>
      <c r="AU102" s="447"/>
      <c r="AV102" s="145"/>
      <c r="AW102" s="145">
        <v>200</v>
      </c>
      <c r="AX102" s="145"/>
      <c r="AY102" s="145">
        <v>200</v>
      </c>
      <c r="AZ102" s="145"/>
      <c r="BA102" s="145">
        <v>300</v>
      </c>
      <c r="BB102" s="145"/>
      <c r="BC102" s="145">
        <f t="shared" si="22"/>
        <v>1027717</v>
      </c>
      <c r="BD102" s="540">
        <f t="shared" ref="BD102:BD105" si="31">1%+0.18%+0.25%</f>
        <v>0.0143</v>
      </c>
      <c r="BE102" s="145"/>
      <c r="BF102" s="145"/>
      <c r="BG102" s="145"/>
      <c r="BH102" s="145">
        <v>1027717</v>
      </c>
      <c r="BI102" s="145"/>
      <c r="BJ102" s="145"/>
      <c r="BK102" s="145"/>
      <c r="BL102" s="145"/>
      <c r="BM102" s="145"/>
      <c r="BN102" s="145"/>
      <c r="BO102" s="145"/>
      <c r="BP102" s="145"/>
      <c r="BQ102" s="145"/>
      <c r="BR102" s="145"/>
      <c r="BS102" s="145"/>
      <c r="BT102" s="145"/>
      <c r="BU102" s="145"/>
      <c r="BV102" s="145"/>
      <c r="BW102" s="145"/>
      <c r="BX102" s="145"/>
      <c r="BY102" s="145"/>
      <c r="BZ102" s="145"/>
      <c r="CA102" s="145"/>
      <c r="CB102" s="145"/>
      <c r="CC102" s="145"/>
      <c r="CD102" s="145"/>
      <c r="CE102" s="145"/>
      <c r="CF102" s="145"/>
      <c r="CG102" s="145"/>
      <c r="CH102" s="385"/>
      <c r="CJ102" s="385" t="s">
        <v>260</v>
      </c>
      <c r="CK102" s="385" t="s">
        <v>271</v>
      </c>
      <c r="CM102" s="385" t="s">
        <v>261</v>
      </c>
    </row>
    <row r="103" s="385" customFormat="1" customHeight="1" spans="1:91">
      <c r="A103" s="385">
        <v>96</v>
      </c>
      <c r="C103" s="471">
        <v>45198</v>
      </c>
      <c r="D103" s="385">
        <v>20230008219</v>
      </c>
      <c r="E103" s="1026" t="s">
        <v>877</v>
      </c>
      <c r="F103" s="456" t="s">
        <v>878</v>
      </c>
      <c r="G103" s="142" t="s">
        <v>879</v>
      </c>
      <c r="I103" s="385" t="s">
        <v>254</v>
      </c>
      <c r="J103" s="385">
        <v>11</v>
      </c>
      <c r="K103" s="385">
        <v>43.2</v>
      </c>
      <c r="L103" s="385">
        <v>43.2</v>
      </c>
      <c r="M103" s="385">
        <v>25867</v>
      </c>
      <c r="N103" s="469">
        <v>1117455</v>
      </c>
      <c r="O103" s="145">
        <v>25705</v>
      </c>
      <c r="Q103" s="385">
        <v>1025188.07</v>
      </c>
      <c r="R103" s="1026" t="s">
        <v>880</v>
      </c>
      <c r="S103" s="471">
        <v>45765</v>
      </c>
      <c r="T103" s="145"/>
      <c r="U103" s="440"/>
      <c r="V103" s="440" t="s">
        <v>881</v>
      </c>
      <c r="W103" s="440" t="s">
        <v>882</v>
      </c>
      <c r="X103" s="145">
        <v>10000</v>
      </c>
      <c r="Y103" s="440" t="s">
        <v>883</v>
      </c>
      <c r="Z103" s="145">
        <v>90000</v>
      </c>
      <c r="AA103" s="442" t="s">
        <v>332</v>
      </c>
      <c r="AB103" s="145">
        <v>1016937</v>
      </c>
      <c r="AC103" s="440" t="s">
        <v>884</v>
      </c>
      <c r="AD103" s="145">
        <v>518</v>
      </c>
      <c r="AE103" s="440" t="s">
        <v>885</v>
      </c>
      <c r="AL103" s="145">
        <f t="shared" si="28"/>
        <v>1117455</v>
      </c>
      <c r="AO103" s="446">
        <f t="shared" ref="AO103:AO109" si="32">N103-AL103</f>
        <v>0</v>
      </c>
      <c r="AP103" s="385">
        <v>15276260476</v>
      </c>
      <c r="AT103" s="447">
        <f t="shared" si="21"/>
        <v>200</v>
      </c>
      <c r="AU103" s="447"/>
      <c r="AV103" s="145"/>
      <c r="AW103" s="145"/>
      <c r="AX103" s="145"/>
      <c r="AY103" s="145">
        <v>200</v>
      </c>
      <c r="AZ103" s="145"/>
      <c r="BA103" s="145"/>
      <c r="BB103" s="145"/>
      <c r="BC103" s="145">
        <f t="shared" si="22"/>
        <v>1116937</v>
      </c>
      <c r="BD103" s="540">
        <f t="shared" si="31"/>
        <v>0.0143</v>
      </c>
      <c r="BE103" s="145"/>
      <c r="BF103" s="145"/>
      <c r="BG103" s="145">
        <v>1116937</v>
      </c>
      <c r="BH103" s="145"/>
      <c r="BI103" s="145"/>
      <c r="BJ103" s="145"/>
      <c r="BK103" s="145"/>
      <c r="BL103" s="145"/>
      <c r="BM103" s="145"/>
      <c r="BN103" s="145"/>
      <c r="BO103" s="145"/>
      <c r="BP103" s="145"/>
      <c r="BQ103" s="145"/>
      <c r="BR103" s="145"/>
      <c r="BS103" s="145"/>
      <c r="BT103" s="145"/>
      <c r="BU103" s="145"/>
      <c r="BV103" s="145"/>
      <c r="BW103" s="145"/>
      <c r="BX103" s="145"/>
      <c r="BY103" s="145"/>
      <c r="BZ103" s="145"/>
      <c r="CA103" s="145"/>
      <c r="CB103" s="145"/>
      <c r="CC103" s="145"/>
      <c r="CD103" s="145"/>
      <c r="CE103" s="145"/>
      <c r="CF103" s="145"/>
      <c r="CG103" s="145"/>
      <c r="CH103" s="385"/>
      <c r="CJ103" s="385" t="s">
        <v>260</v>
      </c>
      <c r="CK103" s="385" t="s">
        <v>271</v>
      </c>
      <c r="CM103" s="385" t="s">
        <v>261</v>
      </c>
    </row>
    <row r="104" s="385" customFormat="1" customHeight="1" spans="1:91">
      <c r="A104" s="385">
        <v>97</v>
      </c>
      <c r="C104" s="471">
        <v>45198</v>
      </c>
      <c r="D104" s="385">
        <v>20230008224</v>
      </c>
      <c r="E104" s="1026" t="s">
        <v>886</v>
      </c>
      <c r="F104" s="456" t="s">
        <v>878</v>
      </c>
      <c r="G104" s="142" t="s">
        <v>879</v>
      </c>
      <c r="I104" s="385" t="s">
        <v>254</v>
      </c>
      <c r="J104" s="385">
        <v>12</v>
      </c>
      <c r="K104" s="385">
        <v>43.2</v>
      </c>
      <c r="L104" s="385">
        <v>43.2</v>
      </c>
      <c r="M104" s="385">
        <v>20533</v>
      </c>
      <c r="N104" s="469">
        <v>887026</v>
      </c>
      <c r="O104" s="145">
        <v>20372.35</v>
      </c>
      <c r="Q104" s="385">
        <v>813785.32</v>
      </c>
      <c r="R104" s="1026" t="s">
        <v>887</v>
      </c>
      <c r="S104" s="471">
        <v>45765</v>
      </c>
      <c r="T104" s="145"/>
      <c r="U104" s="440"/>
      <c r="V104" s="440"/>
      <c r="W104" s="440" t="s">
        <v>882</v>
      </c>
      <c r="X104" s="145">
        <v>100000</v>
      </c>
      <c r="Y104" s="440" t="s">
        <v>332</v>
      </c>
      <c r="Z104" s="145">
        <v>283063</v>
      </c>
      <c r="AA104" s="440" t="s">
        <v>884</v>
      </c>
      <c r="AB104" s="145">
        <v>503552</v>
      </c>
      <c r="AC104" s="442" t="s">
        <v>455</v>
      </c>
      <c r="AD104" s="145">
        <v>411</v>
      </c>
      <c r="AE104" s="440" t="s">
        <v>885</v>
      </c>
      <c r="AL104" s="145">
        <f t="shared" si="28"/>
        <v>887026</v>
      </c>
      <c r="AO104" s="446">
        <f t="shared" si="32"/>
        <v>0</v>
      </c>
      <c r="AP104" s="385">
        <v>15276260476</v>
      </c>
      <c r="AT104" s="447">
        <f t="shared" si="21"/>
        <v>200</v>
      </c>
      <c r="AU104" s="447"/>
      <c r="AV104" s="145"/>
      <c r="AW104" s="145"/>
      <c r="AX104" s="145"/>
      <c r="AY104" s="145">
        <v>200</v>
      </c>
      <c r="AZ104" s="145"/>
      <c r="BA104" s="145"/>
      <c r="BB104" s="145"/>
      <c r="BC104" s="145">
        <f t="shared" si="22"/>
        <v>886615</v>
      </c>
      <c r="BD104" s="540">
        <f t="shared" si="31"/>
        <v>0.0143</v>
      </c>
      <c r="BE104" s="145"/>
      <c r="BF104" s="145"/>
      <c r="BG104" s="145">
        <v>886615</v>
      </c>
      <c r="BH104" s="145"/>
      <c r="BI104" s="145"/>
      <c r="BJ104" s="145"/>
      <c r="BK104" s="145"/>
      <c r="BL104" s="145"/>
      <c r="BM104" s="145"/>
      <c r="BN104" s="145"/>
      <c r="BO104" s="145"/>
      <c r="BP104" s="145"/>
      <c r="BQ104" s="145"/>
      <c r="BR104" s="145"/>
      <c r="BS104" s="145"/>
      <c r="BT104" s="145"/>
      <c r="BU104" s="145"/>
      <c r="BV104" s="145"/>
      <c r="BW104" s="145"/>
      <c r="BX104" s="145"/>
      <c r="BY104" s="145"/>
      <c r="BZ104" s="145"/>
      <c r="CA104" s="145"/>
      <c r="CB104" s="145"/>
      <c r="CC104" s="145"/>
      <c r="CD104" s="145"/>
      <c r="CE104" s="145"/>
      <c r="CF104" s="145"/>
      <c r="CG104" s="145"/>
      <c r="CH104" s="385"/>
      <c r="CJ104" s="385" t="s">
        <v>260</v>
      </c>
      <c r="CK104" s="385" t="s">
        <v>271</v>
      </c>
      <c r="CM104" s="385" t="s">
        <v>261</v>
      </c>
    </row>
    <row r="105" s="385" customFormat="1" customHeight="1" spans="1:91">
      <c r="A105" s="385">
        <v>98</v>
      </c>
      <c r="C105" s="471">
        <v>45108</v>
      </c>
      <c r="D105" s="385">
        <v>20230005459</v>
      </c>
      <c r="E105" s="1026" t="s">
        <v>888</v>
      </c>
      <c r="F105" s="456" t="s">
        <v>870</v>
      </c>
      <c r="G105" s="142" t="s">
        <v>871</v>
      </c>
      <c r="I105" s="385" t="s">
        <v>254</v>
      </c>
      <c r="J105" s="385">
        <v>13</v>
      </c>
      <c r="K105" s="385">
        <v>41.68</v>
      </c>
      <c r="L105" s="385">
        <v>41.68</v>
      </c>
      <c r="M105" s="385">
        <v>19527.5</v>
      </c>
      <c r="N105" s="469">
        <v>813906</v>
      </c>
      <c r="O105" s="145">
        <v>19227.5</v>
      </c>
      <c r="Q105" s="385">
        <v>746702.75</v>
      </c>
      <c r="R105" s="1026" t="s">
        <v>889</v>
      </c>
      <c r="S105" s="471">
        <v>45618</v>
      </c>
      <c r="T105" s="145"/>
      <c r="U105" s="440"/>
      <c r="V105" s="440"/>
      <c r="W105" s="385" t="s">
        <v>874</v>
      </c>
      <c r="X105" s="145">
        <v>50000</v>
      </c>
      <c r="Y105" s="385" t="s">
        <v>332</v>
      </c>
      <c r="Z105" s="145">
        <v>357516</v>
      </c>
      <c r="AA105" s="442" t="s">
        <v>876</v>
      </c>
      <c r="AB105" s="145">
        <v>406000</v>
      </c>
      <c r="AC105" s="442" t="s">
        <v>890</v>
      </c>
      <c r="AL105" s="145">
        <f t="shared" si="28"/>
        <v>813516</v>
      </c>
      <c r="AO105" s="446">
        <f t="shared" si="32"/>
        <v>390</v>
      </c>
      <c r="AP105" s="385">
        <v>18116973710</v>
      </c>
      <c r="AT105" s="447">
        <f t="shared" ref="AT105:AT150" si="33">AU105+AV105+AW105+AX105+AY105+AZ105+BA105+BB105</f>
        <v>200</v>
      </c>
      <c r="AU105" s="447"/>
      <c r="AV105" s="145"/>
      <c r="AW105" s="145"/>
      <c r="AX105" s="145"/>
      <c r="AY105" s="145">
        <v>200</v>
      </c>
      <c r="AZ105" s="145"/>
      <c r="BA105" s="145"/>
      <c r="BB105" s="145"/>
      <c r="BC105" s="145">
        <f t="shared" ref="BC105:BC150" si="34">SUM(BE105:CG105)</f>
        <v>813516</v>
      </c>
      <c r="BD105" s="540">
        <f t="shared" si="31"/>
        <v>0.0143</v>
      </c>
      <c r="BE105" s="145"/>
      <c r="BF105" s="145"/>
      <c r="BG105" s="145"/>
      <c r="BH105" s="145">
        <v>813516</v>
      </c>
      <c r="BI105" s="145"/>
      <c r="BJ105" s="145"/>
      <c r="BK105" s="145"/>
      <c r="BL105" s="145"/>
      <c r="BM105" s="145"/>
      <c r="BN105" s="145"/>
      <c r="BO105" s="145"/>
      <c r="BP105" s="145"/>
      <c r="BQ105" s="145"/>
      <c r="BR105" s="145"/>
      <c r="BS105" s="145"/>
      <c r="BT105" s="145"/>
      <c r="BU105" s="145"/>
      <c r="BV105" s="145"/>
      <c r="BW105" s="145"/>
      <c r="BX105" s="145"/>
      <c r="BY105" s="145"/>
      <c r="BZ105" s="145"/>
      <c r="CA105" s="145"/>
      <c r="CB105" s="145"/>
      <c r="CC105" s="145"/>
      <c r="CD105" s="145"/>
      <c r="CE105" s="145"/>
      <c r="CF105" s="145"/>
      <c r="CG105" s="145"/>
      <c r="CH105" s="385"/>
      <c r="CJ105" s="385" t="s">
        <v>260</v>
      </c>
      <c r="CK105" s="385" t="s">
        <v>271</v>
      </c>
      <c r="CM105" s="385" t="s">
        <v>261</v>
      </c>
    </row>
    <row r="106" s="385" customFormat="1" customHeight="1" spans="1:91">
      <c r="A106" s="385">
        <v>99</v>
      </c>
      <c r="C106" s="471">
        <v>45318</v>
      </c>
      <c r="D106" s="385">
        <v>20240000629</v>
      </c>
      <c r="E106" s="1026" t="s">
        <v>891</v>
      </c>
      <c r="F106" s="456" t="s">
        <v>892</v>
      </c>
      <c r="G106" s="142" t="s">
        <v>893</v>
      </c>
      <c r="I106" s="385" t="s">
        <v>254</v>
      </c>
      <c r="J106" s="385">
        <v>14</v>
      </c>
      <c r="K106" s="385">
        <v>42.69</v>
      </c>
      <c r="L106" s="385">
        <v>42.69</v>
      </c>
      <c r="M106" s="385">
        <v>17421.83</v>
      </c>
      <c r="N106" s="469">
        <v>743738</v>
      </c>
      <c r="O106" s="145">
        <v>17121.83</v>
      </c>
      <c r="Q106" s="385">
        <v>682328.44</v>
      </c>
      <c r="R106" s="1026" t="s">
        <v>894</v>
      </c>
      <c r="S106" s="471">
        <v>45765</v>
      </c>
      <c r="T106" s="145"/>
      <c r="U106" s="440"/>
      <c r="V106" s="440"/>
      <c r="W106" s="440" t="s">
        <v>895</v>
      </c>
      <c r="X106" s="145">
        <v>50000</v>
      </c>
      <c r="Y106" s="440" t="s">
        <v>342</v>
      </c>
      <c r="Z106" s="145">
        <v>300000</v>
      </c>
      <c r="AA106" s="440" t="s">
        <v>896</v>
      </c>
      <c r="AB106" s="145">
        <v>200000</v>
      </c>
      <c r="AC106" s="440" t="s">
        <v>897</v>
      </c>
      <c r="AD106" s="145">
        <v>150000</v>
      </c>
      <c r="AE106" s="440" t="s">
        <v>898</v>
      </c>
      <c r="AF106" s="145">
        <v>43389</v>
      </c>
      <c r="AG106" s="440" t="s">
        <v>526</v>
      </c>
      <c r="AH106" s="145">
        <v>349</v>
      </c>
      <c r="AI106" s="440">
        <v>45894</v>
      </c>
      <c r="AL106" s="145">
        <f t="shared" si="28"/>
        <v>743738</v>
      </c>
      <c r="AO106" s="446">
        <f t="shared" si="32"/>
        <v>0</v>
      </c>
      <c r="AP106" s="385">
        <v>13899019911</v>
      </c>
      <c r="AT106" s="447">
        <f t="shared" si="33"/>
        <v>0</v>
      </c>
      <c r="AU106" s="447"/>
      <c r="AV106" s="145"/>
      <c r="AW106" s="145"/>
      <c r="AX106" s="145"/>
      <c r="AY106" s="145"/>
      <c r="AZ106" s="145"/>
      <c r="BA106" s="145"/>
      <c r="BB106" s="145"/>
      <c r="BC106" s="145">
        <f t="shared" si="34"/>
        <v>743389</v>
      </c>
      <c r="BD106" s="540">
        <f>1%+0.25%</f>
        <v>0.0125</v>
      </c>
      <c r="BE106" s="145"/>
      <c r="BF106" s="145"/>
      <c r="BG106" s="145"/>
      <c r="BH106" s="145"/>
      <c r="BI106" s="145"/>
      <c r="BJ106" s="145"/>
      <c r="BK106" s="145"/>
      <c r="BL106" s="145"/>
      <c r="BM106" s="145">
        <v>743389</v>
      </c>
      <c r="BN106" s="145"/>
      <c r="BO106" s="145"/>
      <c r="BP106" s="145"/>
      <c r="BQ106" s="145"/>
      <c r="BR106" s="145"/>
      <c r="BS106" s="145"/>
      <c r="BT106" s="145"/>
      <c r="BU106" s="145"/>
      <c r="BV106" s="145"/>
      <c r="BW106" s="145"/>
      <c r="BX106" s="145"/>
      <c r="BY106" s="145"/>
      <c r="BZ106" s="145"/>
      <c r="CA106" s="145"/>
      <c r="CB106" s="145"/>
      <c r="CC106" s="145"/>
      <c r="CD106" s="145"/>
      <c r="CE106" s="145"/>
      <c r="CF106" s="145"/>
      <c r="CG106" s="145"/>
      <c r="CH106" s="385"/>
      <c r="CJ106" s="385" t="s">
        <v>260</v>
      </c>
      <c r="CK106" s="385" t="s">
        <v>271</v>
      </c>
      <c r="CM106" s="385" t="s">
        <v>261</v>
      </c>
    </row>
    <row r="107" s="385" customFormat="1" customHeight="1" spans="1:91">
      <c r="A107" s="385">
        <v>100</v>
      </c>
      <c r="C107" s="471">
        <v>45111</v>
      </c>
      <c r="D107" s="385">
        <v>20230005527</v>
      </c>
      <c r="E107" s="1026" t="s">
        <v>899</v>
      </c>
      <c r="F107" s="456" t="s">
        <v>853</v>
      </c>
      <c r="G107" s="142" t="s">
        <v>854</v>
      </c>
      <c r="I107" s="385" t="s">
        <v>254</v>
      </c>
      <c r="J107" s="385">
        <v>15</v>
      </c>
      <c r="K107" s="385">
        <v>42.69</v>
      </c>
      <c r="L107" s="385">
        <v>42.69</v>
      </c>
      <c r="M107" s="385">
        <v>17235.72</v>
      </c>
      <c r="N107" s="469">
        <v>735793</v>
      </c>
      <c r="O107" s="145">
        <v>16935.72</v>
      </c>
      <c r="Q107" s="385">
        <v>675039.45</v>
      </c>
      <c r="R107" s="1026" t="s">
        <v>900</v>
      </c>
      <c r="S107" s="471">
        <v>45618</v>
      </c>
      <c r="T107" s="145"/>
      <c r="U107" s="440"/>
      <c r="V107" s="440"/>
      <c r="W107" s="440" t="s">
        <v>857</v>
      </c>
      <c r="X107" s="145">
        <v>100000</v>
      </c>
      <c r="Y107" s="440" t="s">
        <v>342</v>
      </c>
      <c r="Z107" s="145">
        <f>4500+270948+180000</f>
        <v>455448</v>
      </c>
      <c r="AA107" s="442" t="s">
        <v>858</v>
      </c>
      <c r="AB107" s="145">
        <v>130000</v>
      </c>
      <c r="AC107" s="440" t="s">
        <v>566</v>
      </c>
      <c r="AD107" s="145">
        <v>50000</v>
      </c>
      <c r="AE107" s="440" t="s">
        <v>295</v>
      </c>
      <c r="AF107" s="145">
        <v>345</v>
      </c>
      <c r="AG107" s="440" t="s">
        <v>839</v>
      </c>
      <c r="AL107" s="145">
        <f t="shared" si="28"/>
        <v>735793</v>
      </c>
      <c r="AO107" s="446">
        <f t="shared" si="32"/>
        <v>0</v>
      </c>
      <c r="AP107" s="385">
        <v>14799095699</v>
      </c>
      <c r="AT107" s="447">
        <f t="shared" si="33"/>
        <v>0</v>
      </c>
      <c r="AU107" s="447"/>
      <c r="AV107" s="145"/>
      <c r="AW107" s="145"/>
      <c r="AX107" s="145"/>
      <c r="AY107" s="145"/>
      <c r="AZ107" s="145"/>
      <c r="BA107" s="145"/>
      <c r="BB107" s="145"/>
      <c r="BC107" s="145">
        <f t="shared" si="34"/>
        <v>735448</v>
      </c>
      <c r="BD107" s="540">
        <f>1%+0.18%+0.25%</f>
        <v>0.0143</v>
      </c>
      <c r="BE107" s="145"/>
      <c r="BF107" s="145"/>
      <c r="BG107" s="145"/>
      <c r="BH107" s="145"/>
      <c r="BI107" s="145"/>
      <c r="BJ107" s="145"/>
      <c r="BK107" s="145"/>
      <c r="BL107" s="145"/>
      <c r="BM107" s="145">
        <v>735448</v>
      </c>
      <c r="BN107" s="145"/>
      <c r="BO107" s="145"/>
      <c r="BP107" s="145"/>
      <c r="BQ107" s="145"/>
      <c r="BR107" s="145"/>
      <c r="BS107" s="145"/>
      <c r="BT107" s="145"/>
      <c r="BU107" s="145"/>
      <c r="BV107" s="145"/>
      <c r="BW107" s="145"/>
      <c r="BX107" s="145"/>
      <c r="BY107" s="145"/>
      <c r="BZ107" s="145"/>
      <c r="CA107" s="145"/>
      <c r="CB107" s="145"/>
      <c r="CC107" s="145"/>
      <c r="CD107" s="145"/>
      <c r="CE107" s="145"/>
      <c r="CF107" s="145"/>
      <c r="CG107" s="145"/>
      <c r="CH107" s="385"/>
      <c r="CJ107" s="385" t="s">
        <v>260</v>
      </c>
      <c r="CM107" s="385" t="s">
        <v>261</v>
      </c>
    </row>
    <row r="108" s="385" customFormat="1" customHeight="1" spans="1:91">
      <c r="A108" s="385">
        <v>101</v>
      </c>
      <c r="C108" s="471">
        <v>45624</v>
      </c>
      <c r="D108" s="385">
        <v>20240006868</v>
      </c>
      <c r="E108" s="1026" t="s">
        <v>901</v>
      </c>
      <c r="F108" s="456" t="s">
        <v>902</v>
      </c>
      <c r="G108" s="142" t="s">
        <v>850</v>
      </c>
      <c r="I108" s="385" t="s">
        <v>254</v>
      </c>
      <c r="J108" s="385">
        <v>16</v>
      </c>
      <c r="K108" s="385">
        <v>42.69</v>
      </c>
      <c r="L108" s="385">
        <v>42.69</v>
      </c>
      <c r="M108" s="385">
        <v>16893.61</v>
      </c>
      <c r="N108" s="469">
        <v>721188</v>
      </c>
      <c r="O108" s="145">
        <v>16749.62</v>
      </c>
      <c r="Q108" s="385">
        <v>661640.37</v>
      </c>
      <c r="R108" s="1026" t="s">
        <v>903</v>
      </c>
      <c r="S108" s="471">
        <v>45653</v>
      </c>
      <c r="T108" s="145"/>
      <c r="U108" s="440"/>
      <c r="V108" s="440"/>
      <c r="W108" s="440" t="s">
        <v>845</v>
      </c>
      <c r="X108" s="145">
        <v>50000</v>
      </c>
      <c r="Y108" s="440" t="s">
        <v>342</v>
      </c>
      <c r="Z108" s="145">
        <f>89962+220888</f>
        <v>310850</v>
      </c>
      <c r="AA108" s="440" t="s">
        <v>847</v>
      </c>
      <c r="AB108" s="145">
        <v>338</v>
      </c>
      <c r="AC108" s="440" t="s">
        <v>904</v>
      </c>
      <c r="AD108" s="145">
        <v>360000</v>
      </c>
      <c r="AE108" s="440" t="s">
        <v>848</v>
      </c>
      <c r="AL108" s="145">
        <f t="shared" si="28"/>
        <v>721188</v>
      </c>
      <c r="AO108" s="446">
        <f t="shared" si="32"/>
        <v>0</v>
      </c>
      <c r="AP108" s="385">
        <v>13699330699</v>
      </c>
      <c r="AT108" s="447">
        <f t="shared" si="33"/>
        <v>0</v>
      </c>
      <c r="AU108" s="447"/>
      <c r="AV108" s="145"/>
      <c r="AW108" s="145"/>
      <c r="AX108" s="145"/>
      <c r="AY108" s="145"/>
      <c r="AZ108" s="145"/>
      <c r="BA108" s="145"/>
      <c r="BB108" s="145"/>
      <c r="BC108" s="145">
        <f t="shared" si="34"/>
        <v>721188</v>
      </c>
      <c r="BD108" s="540">
        <f>1%+0.25%</f>
        <v>0.0125</v>
      </c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5"/>
      <c r="BQ108" s="145"/>
      <c r="BR108" s="145"/>
      <c r="BS108" s="145"/>
      <c r="BT108" s="145"/>
      <c r="BU108" s="145"/>
      <c r="BV108" s="145">
        <v>721188</v>
      </c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45"/>
      <c r="CG108" s="145"/>
      <c r="CH108" s="385"/>
      <c r="CJ108" s="385" t="s">
        <v>260</v>
      </c>
      <c r="CK108" s="385" t="s">
        <v>271</v>
      </c>
      <c r="CM108" s="385" t="s">
        <v>261</v>
      </c>
    </row>
    <row r="109" s="385" customFormat="1" customHeight="1" spans="1:91">
      <c r="A109" s="385">
        <v>102</v>
      </c>
      <c r="C109" s="471">
        <v>45223</v>
      </c>
      <c r="D109" s="385">
        <v>20230009190</v>
      </c>
      <c r="E109" s="1026" t="s">
        <v>905</v>
      </c>
      <c r="F109" s="456" t="s">
        <v>841</v>
      </c>
      <c r="G109" s="142" t="s">
        <v>850</v>
      </c>
      <c r="I109" s="385" t="s">
        <v>254</v>
      </c>
      <c r="J109" s="385">
        <v>17</v>
      </c>
      <c r="K109" s="385">
        <v>42.69</v>
      </c>
      <c r="L109" s="385">
        <v>42.69</v>
      </c>
      <c r="M109" s="385">
        <v>16893.61</v>
      </c>
      <c r="N109" s="469">
        <v>721188</v>
      </c>
      <c r="O109" s="145">
        <v>16749.62</v>
      </c>
      <c r="Q109" s="385">
        <v>661640.37</v>
      </c>
      <c r="R109" s="1026" t="s">
        <v>906</v>
      </c>
      <c r="S109" s="471">
        <v>45653</v>
      </c>
      <c r="T109" s="145"/>
      <c r="U109" s="440"/>
      <c r="V109" s="440"/>
      <c r="W109" s="440" t="s">
        <v>845</v>
      </c>
      <c r="X109" s="145">
        <v>50000</v>
      </c>
      <c r="Y109" s="440" t="s">
        <v>342</v>
      </c>
      <c r="Z109" s="145">
        <v>310850</v>
      </c>
      <c r="AA109" s="440" t="s">
        <v>847</v>
      </c>
      <c r="AB109" s="145">
        <v>360338</v>
      </c>
      <c r="AC109" s="440" t="s">
        <v>907</v>
      </c>
      <c r="AL109" s="145">
        <f t="shared" si="28"/>
        <v>721188</v>
      </c>
      <c r="AO109" s="446">
        <f t="shared" si="32"/>
        <v>0</v>
      </c>
      <c r="AP109" s="385">
        <v>13699330699</v>
      </c>
      <c r="AT109" s="447">
        <f t="shared" si="33"/>
        <v>0</v>
      </c>
      <c r="AU109" s="447"/>
      <c r="AV109" s="145"/>
      <c r="AW109" s="145"/>
      <c r="AX109" s="145"/>
      <c r="AY109" s="145"/>
      <c r="AZ109" s="145"/>
      <c r="BA109" s="145"/>
      <c r="BB109" s="145"/>
      <c r="BC109" s="145">
        <f t="shared" si="34"/>
        <v>721188</v>
      </c>
      <c r="BD109" s="540">
        <f>1%+0.25%</f>
        <v>0.0125</v>
      </c>
      <c r="BE109" s="145"/>
      <c r="BF109" s="145"/>
      <c r="BG109" s="145"/>
      <c r="BH109" s="145"/>
      <c r="BI109" s="145"/>
      <c r="BJ109" s="145"/>
      <c r="BK109" s="145"/>
      <c r="BL109" s="145"/>
      <c r="BM109" s="145"/>
      <c r="BN109" s="145"/>
      <c r="BO109" s="145"/>
      <c r="BP109" s="145"/>
      <c r="BQ109" s="145"/>
      <c r="BR109" s="145"/>
      <c r="BS109" s="145"/>
      <c r="BT109" s="145"/>
      <c r="BU109" s="145"/>
      <c r="BV109" s="145">
        <v>721188</v>
      </c>
      <c r="BW109" s="145"/>
      <c r="BX109" s="145"/>
      <c r="BY109" s="145"/>
      <c r="BZ109" s="145"/>
      <c r="CA109" s="145"/>
      <c r="CB109" s="145"/>
      <c r="CC109" s="145"/>
      <c r="CD109" s="145"/>
      <c r="CE109" s="145"/>
      <c r="CF109" s="145"/>
      <c r="CG109" s="145"/>
      <c r="CH109" s="385"/>
      <c r="CJ109" s="385" t="s">
        <v>260</v>
      </c>
      <c r="CK109" s="385" t="s">
        <v>271</v>
      </c>
      <c r="CM109" s="385" t="s">
        <v>261</v>
      </c>
    </row>
    <row r="110" s="385" customFormat="1" customHeight="1" spans="1:91">
      <c r="A110" s="385">
        <v>103</v>
      </c>
      <c r="C110" s="471">
        <v>45204</v>
      </c>
      <c r="D110" s="385">
        <v>20230008715</v>
      </c>
      <c r="E110" s="1026" t="s">
        <v>908</v>
      </c>
      <c r="F110" s="456" t="s">
        <v>830</v>
      </c>
      <c r="G110" s="385" t="s">
        <v>909</v>
      </c>
      <c r="I110" s="385" t="s">
        <v>254</v>
      </c>
      <c r="J110" s="385">
        <v>18</v>
      </c>
      <c r="K110" s="385">
        <v>42.69</v>
      </c>
      <c r="L110" s="385">
        <v>42.69</v>
      </c>
      <c r="M110" s="385">
        <v>16677.4</v>
      </c>
      <c r="N110" s="469">
        <v>711959</v>
      </c>
      <c r="O110" s="145">
        <v>16377.4</v>
      </c>
      <c r="Q110" s="385">
        <v>653173.39</v>
      </c>
      <c r="R110" s="1026" t="s">
        <v>910</v>
      </c>
      <c r="S110" s="471">
        <v>45768</v>
      </c>
      <c r="T110" s="145"/>
      <c r="U110" s="146"/>
      <c r="V110" s="146"/>
      <c r="W110" s="146" t="s">
        <v>834</v>
      </c>
      <c r="X110" s="145">
        <v>50000</v>
      </c>
      <c r="Y110" s="146" t="s">
        <v>342</v>
      </c>
      <c r="Z110" s="145">
        <v>106625</v>
      </c>
      <c r="AA110" s="442" t="s">
        <v>471</v>
      </c>
      <c r="AB110" s="145">
        <v>30000</v>
      </c>
      <c r="AC110" s="442" t="s">
        <v>471</v>
      </c>
      <c r="AD110" s="145">
        <v>170000</v>
      </c>
      <c r="AE110" s="146" t="s">
        <v>436</v>
      </c>
      <c r="AF110" s="385">
        <v>5000</v>
      </c>
      <c r="AH110" s="145">
        <v>350000</v>
      </c>
      <c r="AI110" s="146" t="s">
        <v>911</v>
      </c>
      <c r="AJ110" s="145">
        <v>334</v>
      </c>
      <c r="AK110" s="146" t="s">
        <v>839</v>
      </c>
      <c r="AL110" s="145">
        <f t="shared" si="28"/>
        <v>711959</v>
      </c>
      <c r="AO110" s="446">
        <f t="shared" ref="AO110:AO150" si="35">N110-AL110</f>
        <v>0</v>
      </c>
      <c r="AP110" s="385">
        <v>18997603797</v>
      </c>
      <c r="AT110" s="447">
        <f t="shared" si="33"/>
        <v>0</v>
      </c>
      <c r="AU110" s="447"/>
      <c r="AV110" s="145"/>
      <c r="AW110" s="145"/>
      <c r="AX110" s="145"/>
      <c r="AY110" s="145"/>
      <c r="AZ110" s="145"/>
      <c r="BA110" s="145"/>
      <c r="BB110" s="145"/>
      <c r="BC110" s="145">
        <f t="shared" si="34"/>
        <v>711625</v>
      </c>
      <c r="BD110" s="540">
        <f>1%+0.25%</f>
        <v>0.0125</v>
      </c>
      <c r="BE110" s="145"/>
      <c r="BF110" s="145"/>
      <c r="BG110" s="145"/>
      <c r="BH110" s="145"/>
      <c r="BI110" s="145">
        <v>361625</v>
      </c>
      <c r="BJ110" s="145"/>
      <c r="BK110" s="145"/>
      <c r="BL110" s="145">
        <v>350000</v>
      </c>
      <c r="BM110" s="145"/>
      <c r="BN110" s="145"/>
      <c r="BO110" s="145"/>
      <c r="BP110" s="145"/>
      <c r="BQ110" s="145"/>
      <c r="BR110" s="145"/>
      <c r="BS110" s="145"/>
      <c r="BT110" s="145"/>
      <c r="BU110" s="145"/>
      <c r="BV110" s="145"/>
      <c r="BW110" s="145"/>
      <c r="BX110" s="145"/>
      <c r="BY110" s="145"/>
      <c r="BZ110" s="145"/>
      <c r="CA110" s="145"/>
      <c r="CB110" s="145"/>
      <c r="CC110" s="145"/>
      <c r="CD110" s="145"/>
      <c r="CE110" s="145"/>
      <c r="CF110" s="145"/>
      <c r="CG110" s="145"/>
      <c r="CH110" s="385"/>
      <c r="CJ110" s="385" t="s">
        <v>260</v>
      </c>
      <c r="CK110" s="385" t="s">
        <v>271</v>
      </c>
      <c r="CM110" s="385" t="s">
        <v>261</v>
      </c>
    </row>
    <row r="111" s="385" customFormat="1" customHeight="1" spans="1:91">
      <c r="A111" s="385">
        <v>104</v>
      </c>
      <c r="C111" s="471">
        <v>45129</v>
      </c>
      <c r="D111" s="385">
        <v>20230006187</v>
      </c>
      <c r="E111" s="1026" t="s">
        <v>912</v>
      </c>
      <c r="F111" s="456" t="s">
        <v>913</v>
      </c>
      <c r="G111" s="142" t="s">
        <v>914</v>
      </c>
      <c r="I111" s="385" t="s">
        <v>254</v>
      </c>
      <c r="J111" s="385">
        <v>19</v>
      </c>
      <c r="K111" s="385">
        <v>42.69</v>
      </c>
      <c r="L111" s="385">
        <v>42.69</v>
      </c>
      <c r="M111" s="385">
        <v>16563.51</v>
      </c>
      <c r="N111" s="469">
        <v>707099</v>
      </c>
      <c r="O111" s="145">
        <v>16563.51</v>
      </c>
      <c r="P111" s="385"/>
      <c r="Q111" s="385">
        <v>648714.68</v>
      </c>
      <c r="R111" s="1026" t="s">
        <v>915</v>
      </c>
      <c r="S111" s="471">
        <v>45768</v>
      </c>
      <c r="T111" s="145"/>
      <c r="U111" s="146"/>
      <c r="V111" s="146"/>
      <c r="W111" s="440" t="s">
        <v>916</v>
      </c>
      <c r="X111" s="145">
        <v>50000</v>
      </c>
      <c r="Y111" s="440" t="s">
        <v>342</v>
      </c>
      <c r="Z111" s="145">
        <v>306767</v>
      </c>
      <c r="AA111" s="146" t="s">
        <v>917</v>
      </c>
      <c r="AB111" s="145">
        <v>350000</v>
      </c>
      <c r="AC111" s="146" t="s">
        <v>918</v>
      </c>
      <c r="AD111" s="145">
        <v>332</v>
      </c>
      <c r="AE111" s="146">
        <v>45982</v>
      </c>
      <c r="AL111" s="145">
        <f t="shared" si="28"/>
        <v>707099</v>
      </c>
      <c r="AO111" s="446">
        <f t="shared" si="35"/>
        <v>0</v>
      </c>
      <c r="AP111" s="385">
        <v>17767666623</v>
      </c>
      <c r="AT111" s="447">
        <f t="shared" si="33"/>
        <v>200</v>
      </c>
      <c r="AU111" s="447"/>
      <c r="AV111" s="145"/>
      <c r="AW111" s="145">
        <v>200</v>
      </c>
      <c r="AX111" s="145"/>
      <c r="AY111" s="145"/>
      <c r="AZ111" s="145"/>
      <c r="BA111" s="145"/>
      <c r="BB111" s="145"/>
      <c r="BC111" s="145">
        <f t="shared" si="34"/>
        <v>706767</v>
      </c>
      <c r="BD111" s="540">
        <f>1%+0.25%</f>
        <v>0.0125</v>
      </c>
      <c r="BE111" s="145">
        <v>356767</v>
      </c>
      <c r="BF111" s="145"/>
      <c r="BG111" s="145">
        <v>350000</v>
      </c>
      <c r="BH111" s="145"/>
      <c r="BI111" s="145"/>
      <c r="BJ111" s="145"/>
      <c r="BK111" s="145"/>
      <c r="BL111" s="145"/>
      <c r="BM111" s="145"/>
      <c r="BN111" s="145"/>
      <c r="BO111" s="145"/>
      <c r="BP111" s="145"/>
      <c r="BQ111" s="145"/>
      <c r="BR111" s="145"/>
      <c r="BS111" s="145"/>
      <c r="BT111" s="145"/>
      <c r="BU111" s="145"/>
      <c r="BV111" s="145"/>
      <c r="BW111" s="145"/>
      <c r="BX111" s="145"/>
      <c r="BY111" s="145"/>
      <c r="BZ111" s="145"/>
      <c r="CA111" s="145"/>
      <c r="CB111" s="145"/>
      <c r="CC111" s="145"/>
      <c r="CD111" s="145"/>
      <c r="CE111" s="145"/>
      <c r="CF111" s="145"/>
      <c r="CG111" s="145"/>
      <c r="CH111" s="385"/>
      <c r="CJ111" s="385" t="s">
        <v>260</v>
      </c>
      <c r="CK111" s="385" t="s">
        <v>271</v>
      </c>
      <c r="CM111" s="385" t="s">
        <v>261</v>
      </c>
    </row>
    <row r="112" s="385" customFormat="1" ht="57" customHeight="1" spans="1:91">
      <c r="A112" s="385">
        <v>105</v>
      </c>
      <c r="C112" s="471">
        <v>45198</v>
      </c>
      <c r="D112" s="385">
        <v>20230008181</v>
      </c>
      <c r="E112" s="1026" t="s">
        <v>919</v>
      </c>
      <c r="F112" s="456" t="s">
        <v>920</v>
      </c>
      <c r="G112" s="142" t="s">
        <v>921</v>
      </c>
      <c r="I112" s="385" t="s">
        <v>254</v>
      </c>
      <c r="J112" s="385">
        <v>20</v>
      </c>
      <c r="K112" s="385">
        <v>42.69</v>
      </c>
      <c r="L112" s="385">
        <v>42.69</v>
      </c>
      <c r="M112" s="385">
        <v>17780.15</v>
      </c>
      <c r="N112" s="469">
        <v>759035</v>
      </c>
      <c r="O112" s="145">
        <v>17680.15</v>
      </c>
      <c r="Q112" s="385">
        <v>696362.39</v>
      </c>
      <c r="R112" s="1026" t="s">
        <v>922</v>
      </c>
      <c r="S112" s="471">
        <v>45707</v>
      </c>
      <c r="T112" s="145"/>
      <c r="U112" s="146"/>
      <c r="V112" s="440" t="s">
        <v>923</v>
      </c>
      <c r="W112" s="440" t="s">
        <v>924</v>
      </c>
      <c r="X112" s="145">
        <f>10000+40000</f>
        <v>50000</v>
      </c>
      <c r="Y112" s="440" t="s">
        <v>925</v>
      </c>
      <c r="Z112" s="145">
        <f>150000+129679</f>
        <v>279679</v>
      </c>
      <c r="AA112" s="146" t="s">
        <v>926</v>
      </c>
      <c r="AB112" s="145">
        <v>50000</v>
      </c>
      <c r="AC112" s="146" t="s">
        <v>918</v>
      </c>
      <c r="AD112" s="385">
        <v>379000</v>
      </c>
      <c r="AE112" s="385" t="s">
        <v>867</v>
      </c>
      <c r="AF112" s="145">
        <v>356</v>
      </c>
      <c r="AG112" s="146" t="s">
        <v>927</v>
      </c>
      <c r="AL112" s="145">
        <f t="shared" si="28"/>
        <v>759035</v>
      </c>
      <c r="AO112" s="446">
        <f t="shared" si="35"/>
        <v>0</v>
      </c>
      <c r="AP112" s="385">
        <v>13899010102</v>
      </c>
      <c r="AT112" s="447">
        <f t="shared" si="33"/>
        <v>700</v>
      </c>
      <c r="AU112" s="447"/>
      <c r="AV112" s="145"/>
      <c r="AW112" s="145">
        <v>200</v>
      </c>
      <c r="AX112" s="145"/>
      <c r="AY112" s="145">
        <v>200</v>
      </c>
      <c r="AZ112" s="145"/>
      <c r="BA112" s="145">
        <v>300</v>
      </c>
      <c r="BB112" s="145"/>
      <c r="BC112" s="145">
        <f t="shared" si="34"/>
        <v>758679</v>
      </c>
      <c r="BD112" s="540">
        <f t="shared" ref="BD111:BD116" si="36">1%+0.18%+0.25%</f>
        <v>0.0143</v>
      </c>
      <c r="BE112" s="145"/>
      <c r="BF112" s="145"/>
      <c r="BG112" s="145">
        <v>379679</v>
      </c>
      <c r="BH112" s="145">
        <v>379000</v>
      </c>
      <c r="BI112" s="145"/>
      <c r="BJ112" s="145"/>
      <c r="BK112" s="145"/>
      <c r="BL112" s="145"/>
      <c r="BM112" s="145"/>
      <c r="BN112" s="145"/>
      <c r="BO112" s="145"/>
      <c r="BP112" s="145"/>
      <c r="BQ112" s="145"/>
      <c r="BR112" s="145"/>
      <c r="BS112" s="145"/>
      <c r="BT112" s="145"/>
      <c r="BU112" s="145"/>
      <c r="BV112" s="145"/>
      <c r="BW112" s="145"/>
      <c r="BX112" s="145"/>
      <c r="BY112" s="145"/>
      <c r="BZ112" s="145"/>
      <c r="CA112" s="145"/>
      <c r="CB112" s="145"/>
      <c r="CC112" s="145"/>
      <c r="CD112" s="145"/>
      <c r="CE112" s="145"/>
      <c r="CF112" s="145"/>
      <c r="CG112" s="145"/>
      <c r="CH112" s="385"/>
      <c r="CJ112" s="385" t="s">
        <v>260</v>
      </c>
      <c r="CK112" s="385" t="s">
        <v>271</v>
      </c>
      <c r="CM112" s="385" t="s">
        <v>261</v>
      </c>
    </row>
    <row r="113" s="385" customFormat="1" ht="42" customHeight="1" spans="1:99">
      <c r="A113" s="385">
        <v>106</v>
      </c>
      <c r="C113" s="471">
        <v>45133</v>
      </c>
      <c r="D113" s="385">
        <v>20230006324</v>
      </c>
      <c r="E113" s="1026" t="s">
        <v>928</v>
      </c>
      <c r="F113" s="456" t="s">
        <v>803</v>
      </c>
      <c r="G113" s="142" t="s">
        <v>804</v>
      </c>
      <c r="I113" s="385" t="s">
        <v>254</v>
      </c>
      <c r="J113" s="385">
        <v>21</v>
      </c>
      <c r="K113" s="385">
        <v>42.69</v>
      </c>
      <c r="L113" s="385">
        <v>42.69</v>
      </c>
      <c r="M113" s="385">
        <v>20163.06</v>
      </c>
      <c r="N113" s="469">
        <v>860761</v>
      </c>
      <c r="O113" s="145">
        <v>20000</v>
      </c>
      <c r="Q113" s="385">
        <v>789688.99</v>
      </c>
      <c r="R113" s="1026" t="s">
        <v>929</v>
      </c>
      <c r="S113" s="471">
        <v>45768</v>
      </c>
      <c r="T113" s="145"/>
      <c r="U113" s="146"/>
      <c r="V113" s="440"/>
      <c r="W113" s="440" t="s">
        <v>930</v>
      </c>
      <c r="X113" s="145">
        <v>100000</v>
      </c>
      <c r="Y113" s="442" t="s">
        <v>809</v>
      </c>
      <c r="Z113" s="145">
        <v>330358</v>
      </c>
      <c r="AA113" s="146" t="s">
        <v>810</v>
      </c>
      <c r="AB113" s="145">
        <v>430000</v>
      </c>
      <c r="AC113" s="146" t="s">
        <v>581</v>
      </c>
      <c r="AD113" s="385">
        <v>403</v>
      </c>
      <c r="AE113" s="146">
        <v>45562</v>
      </c>
      <c r="AL113" s="145">
        <f t="shared" si="28"/>
        <v>860761</v>
      </c>
      <c r="AO113" s="446">
        <f t="shared" si="35"/>
        <v>0</v>
      </c>
      <c r="AP113" s="385">
        <v>13899058276</v>
      </c>
      <c r="AT113" s="447">
        <f t="shared" si="33"/>
        <v>200</v>
      </c>
      <c r="AU113" s="447"/>
      <c r="AV113" s="145"/>
      <c r="AW113" s="145">
        <v>200</v>
      </c>
      <c r="AX113" s="145"/>
      <c r="AY113" s="145"/>
      <c r="AZ113" s="145"/>
      <c r="BA113" s="145"/>
      <c r="BB113" s="145"/>
      <c r="BC113" s="145">
        <f t="shared" si="34"/>
        <v>860358</v>
      </c>
      <c r="BD113" s="540">
        <f t="shared" si="36"/>
        <v>0.0143</v>
      </c>
      <c r="BE113" s="145">
        <v>430358</v>
      </c>
      <c r="BF113" s="145"/>
      <c r="BG113" s="145"/>
      <c r="BH113" s="145"/>
      <c r="BI113" s="145"/>
      <c r="BJ113" s="145"/>
      <c r="BK113" s="145"/>
      <c r="BL113" s="145"/>
      <c r="BM113" s="145"/>
      <c r="BN113" s="145"/>
      <c r="BO113" s="145"/>
      <c r="BP113" s="145"/>
      <c r="BQ113" s="145"/>
      <c r="BR113" s="145"/>
      <c r="BS113" s="145">
        <v>430000</v>
      </c>
      <c r="BT113" s="145"/>
      <c r="BU113" s="145"/>
      <c r="BV113" s="145"/>
      <c r="BW113" s="145"/>
      <c r="BX113" s="145"/>
      <c r="BY113" s="145"/>
      <c r="BZ113" s="145"/>
      <c r="CA113" s="145"/>
      <c r="CB113" s="145"/>
      <c r="CC113" s="145"/>
      <c r="CD113" s="145"/>
      <c r="CE113" s="145"/>
      <c r="CF113" s="145"/>
      <c r="CG113" s="145"/>
      <c r="CH113" s="385"/>
      <c r="CJ113" s="385" t="s">
        <v>260</v>
      </c>
      <c r="CK113" s="385" t="s">
        <v>271</v>
      </c>
      <c r="CM113" s="385" t="s">
        <v>261</v>
      </c>
    </row>
    <row r="114" s="385" customFormat="1" ht="62" customHeight="1" spans="1:99">
      <c r="A114" s="385">
        <v>107</v>
      </c>
      <c r="C114" s="471">
        <v>45133</v>
      </c>
      <c r="D114" s="385">
        <v>20230006325</v>
      </c>
      <c r="E114" s="1026" t="s">
        <v>931</v>
      </c>
      <c r="F114" s="456" t="s">
        <v>803</v>
      </c>
      <c r="G114" s="142" t="s">
        <v>804</v>
      </c>
      <c r="I114" s="385" t="s">
        <v>254</v>
      </c>
      <c r="J114" s="385">
        <v>22</v>
      </c>
      <c r="K114" s="385">
        <v>43.2</v>
      </c>
      <c r="L114" s="385">
        <v>43.2</v>
      </c>
      <c r="M114" s="385">
        <v>26663.06</v>
      </c>
      <c r="N114" s="469">
        <v>1151844</v>
      </c>
      <c r="O114" s="145">
        <v>26000</v>
      </c>
      <c r="Q114" s="385">
        <v>1056737.61</v>
      </c>
      <c r="R114" s="1026" t="s">
        <v>932</v>
      </c>
      <c r="S114" s="471">
        <v>45768</v>
      </c>
      <c r="T114" s="145"/>
      <c r="U114" s="440"/>
      <c r="V114" s="440" t="s">
        <v>933</v>
      </c>
      <c r="W114" s="440" t="s">
        <v>934</v>
      </c>
      <c r="X114" s="145">
        <f>100000+5000+5000-5000-5000</f>
        <v>100000</v>
      </c>
      <c r="Y114" s="440" t="s">
        <v>935</v>
      </c>
      <c r="Z114" s="145">
        <v>150000</v>
      </c>
      <c r="AA114" s="442" t="s">
        <v>809</v>
      </c>
      <c r="AB114" s="145">
        <v>326311</v>
      </c>
      <c r="AC114" s="440" t="s">
        <v>810</v>
      </c>
      <c r="AD114" s="145">
        <v>575000</v>
      </c>
      <c r="AE114" s="440" t="s">
        <v>581</v>
      </c>
      <c r="AF114" s="385">
        <v>533</v>
      </c>
      <c r="AG114" s="146">
        <v>45562</v>
      </c>
      <c r="AL114" s="145">
        <f t="shared" si="28"/>
        <v>1151844</v>
      </c>
      <c r="AO114" s="446">
        <f t="shared" si="35"/>
        <v>0</v>
      </c>
      <c r="AP114" s="385">
        <v>13899058276</v>
      </c>
      <c r="AT114" s="447">
        <f t="shared" si="33"/>
        <v>400</v>
      </c>
      <c r="AU114" s="447"/>
      <c r="AV114" s="145">
        <f>200+200</f>
        <v>400</v>
      </c>
      <c r="AW114" s="145"/>
      <c r="AX114" s="145"/>
      <c r="AY114" s="145"/>
      <c r="AZ114" s="145"/>
      <c r="BA114" s="145"/>
      <c r="BB114" s="145"/>
      <c r="BC114" s="145">
        <f t="shared" si="34"/>
        <v>1151311</v>
      </c>
      <c r="BD114" s="540">
        <f t="shared" si="36"/>
        <v>0.0143</v>
      </c>
      <c r="BE114" s="145">
        <v>576311</v>
      </c>
      <c r="BF114" s="145"/>
      <c r="BG114" s="145"/>
      <c r="BH114" s="145"/>
      <c r="BI114" s="145"/>
      <c r="BJ114" s="145"/>
      <c r="BK114" s="145"/>
      <c r="BL114" s="145"/>
      <c r="BM114" s="145"/>
      <c r="BN114" s="145"/>
      <c r="BO114" s="145"/>
      <c r="BP114" s="145"/>
      <c r="BQ114" s="145"/>
      <c r="BR114" s="145"/>
      <c r="BS114" s="145">
        <v>575000</v>
      </c>
      <c r="BT114" s="145"/>
      <c r="BU114" s="145"/>
      <c r="BV114" s="145"/>
      <c r="BW114" s="145"/>
      <c r="BX114" s="145"/>
      <c r="BY114" s="145"/>
      <c r="BZ114" s="145"/>
      <c r="CA114" s="145"/>
      <c r="CB114" s="145"/>
      <c r="CC114" s="145"/>
      <c r="CD114" s="145"/>
      <c r="CE114" s="145"/>
      <c r="CF114" s="145"/>
      <c r="CG114" s="145"/>
      <c r="CH114" s="385"/>
      <c r="CJ114" s="385" t="s">
        <v>260</v>
      </c>
      <c r="CK114" s="385" t="s">
        <v>271</v>
      </c>
      <c r="CM114" s="385" t="s">
        <v>261</v>
      </c>
    </row>
    <row r="115" s="385" customFormat="1" ht="54" customHeight="1" spans="1:99">
      <c r="A115" s="385">
        <v>108</v>
      </c>
      <c r="C115" s="471">
        <v>45138</v>
      </c>
      <c r="D115" s="385">
        <v>20230006477</v>
      </c>
      <c r="F115" s="456" t="s">
        <v>630</v>
      </c>
      <c r="G115" s="142" t="s">
        <v>936</v>
      </c>
      <c r="I115" s="385" t="s">
        <v>361</v>
      </c>
      <c r="J115" s="385">
        <v>1</v>
      </c>
      <c r="K115" s="385">
        <v>197.25</v>
      </c>
      <c r="L115" s="385">
        <v>197.25</v>
      </c>
      <c r="M115" s="385">
        <v>10900</v>
      </c>
      <c r="N115" s="469">
        <v>2150026</v>
      </c>
      <c r="O115" s="145">
        <v>10900</v>
      </c>
      <c r="Q115" s="385">
        <v>1972500.92</v>
      </c>
      <c r="R115" s="1026" t="s">
        <v>937</v>
      </c>
      <c r="S115" s="471">
        <v>45740</v>
      </c>
      <c r="T115" s="145"/>
      <c r="U115" s="440"/>
      <c r="V115" s="440" t="s">
        <v>633</v>
      </c>
      <c r="W115" s="440" t="s">
        <v>634</v>
      </c>
      <c r="X115" s="145">
        <v>100000</v>
      </c>
      <c r="Y115" s="440" t="s">
        <v>635</v>
      </c>
      <c r="Z115" s="145">
        <v>2005226</v>
      </c>
      <c r="AA115" s="440" t="s">
        <v>938</v>
      </c>
      <c r="AB115" s="145">
        <v>44800</v>
      </c>
      <c r="AC115" s="440" t="s">
        <v>939</v>
      </c>
      <c r="AL115" s="145">
        <f t="shared" si="28"/>
        <v>2150026</v>
      </c>
      <c r="AO115" s="446">
        <f t="shared" si="35"/>
        <v>0</v>
      </c>
      <c r="AP115" s="385">
        <v>18809965000</v>
      </c>
      <c r="AT115" s="447">
        <f t="shared" si="33"/>
        <v>400</v>
      </c>
      <c r="AU115" s="447"/>
      <c r="AV115" s="145"/>
      <c r="AW115" s="145">
        <v>200</v>
      </c>
      <c r="AX115" s="145">
        <v>200</v>
      </c>
      <c r="AY115" s="145"/>
      <c r="AZ115" s="145"/>
      <c r="BA115" s="145"/>
      <c r="BB115" s="145"/>
      <c r="BC115" s="145">
        <f t="shared" si="34"/>
        <v>2150026</v>
      </c>
      <c r="BD115" s="540">
        <f t="shared" si="36"/>
        <v>0.0143</v>
      </c>
      <c r="BE115" s="145">
        <v>2105226</v>
      </c>
      <c r="BF115" s="145"/>
      <c r="BG115" s="145"/>
      <c r="BH115" s="145"/>
      <c r="BI115" s="145"/>
      <c r="BJ115" s="145"/>
      <c r="BK115" s="145"/>
      <c r="BL115" s="145"/>
      <c r="BM115" s="145"/>
      <c r="BN115" s="145"/>
      <c r="BO115" s="145"/>
      <c r="BP115" s="145"/>
      <c r="BQ115" s="145"/>
      <c r="BR115" s="145"/>
      <c r="BS115" s="145"/>
      <c r="BT115" s="145"/>
      <c r="BU115" s="145"/>
      <c r="BV115" s="145"/>
      <c r="BW115" s="145"/>
      <c r="BX115" s="145"/>
      <c r="BY115" s="145"/>
      <c r="BZ115" s="145"/>
      <c r="CA115" s="145"/>
      <c r="CB115" s="145">
        <v>44800</v>
      </c>
      <c r="CC115" s="145"/>
      <c r="CD115" s="145"/>
      <c r="CE115" s="145"/>
      <c r="CF115" s="145"/>
      <c r="CG115" s="145"/>
      <c r="CH115" s="385"/>
      <c r="CJ115" s="385" t="s">
        <v>260</v>
      </c>
      <c r="CK115" s="385" t="s">
        <v>271</v>
      </c>
      <c r="CM115" s="385" t="s">
        <v>261</v>
      </c>
    </row>
    <row r="116" s="385" customFormat="1" ht="41" customHeight="1" spans="1:99">
      <c r="A116" s="385">
        <v>109</v>
      </c>
      <c r="C116" s="471">
        <v>45501</v>
      </c>
      <c r="D116" s="385">
        <v>20240004284</v>
      </c>
      <c r="E116" s="1026" t="s">
        <v>940</v>
      </c>
      <c r="F116" s="456" t="s">
        <v>941</v>
      </c>
      <c r="G116" s="385" t="s">
        <v>942</v>
      </c>
      <c r="I116" s="385" t="s">
        <v>361</v>
      </c>
      <c r="J116" s="385">
        <v>2</v>
      </c>
      <c r="K116" s="385">
        <v>291.86</v>
      </c>
      <c r="L116" s="385">
        <v>291.86</v>
      </c>
      <c r="M116" s="385">
        <v>10900</v>
      </c>
      <c r="N116" s="469">
        <v>3181274</v>
      </c>
      <c r="O116" s="145">
        <v>10900</v>
      </c>
      <c r="P116" s="385"/>
      <c r="Q116" s="385">
        <v>2918600</v>
      </c>
      <c r="R116" s="1026" t="s">
        <v>943</v>
      </c>
      <c r="S116" s="471">
        <v>45768</v>
      </c>
      <c r="T116" s="145"/>
      <c r="U116" s="146"/>
      <c r="V116" s="440" t="s">
        <v>944</v>
      </c>
      <c r="W116" s="146" t="s">
        <v>945</v>
      </c>
      <c r="X116" s="145">
        <f>50000+50000+50000+40000</f>
        <v>190000</v>
      </c>
      <c r="Y116" s="440" t="s">
        <v>946</v>
      </c>
      <c r="Z116" s="145">
        <v>10000</v>
      </c>
      <c r="AA116" s="442" t="s">
        <v>342</v>
      </c>
      <c r="AB116" s="145">
        <v>300000</v>
      </c>
      <c r="AC116" s="146" t="s">
        <v>512</v>
      </c>
      <c r="AD116" s="145">
        <v>100000</v>
      </c>
      <c r="AE116" s="146" t="s">
        <v>454</v>
      </c>
      <c r="AF116" s="145">
        <v>150000</v>
      </c>
      <c r="AG116" s="146" t="s">
        <v>947</v>
      </c>
      <c r="AH116" s="145">
        <v>1000000</v>
      </c>
      <c r="AI116" s="146" t="s">
        <v>948</v>
      </c>
      <c r="AJ116" s="145">
        <f>100000+105329+60000+200000+900000</f>
        <v>1365329</v>
      </c>
      <c r="AK116" s="440" t="s">
        <v>949</v>
      </c>
      <c r="AL116" s="145">
        <f t="shared" si="28"/>
        <v>3115329</v>
      </c>
      <c r="AO116" s="446">
        <f t="shared" si="35"/>
        <v>65945</v>
      </c>
      <c r="AP116" s="448">
        <v>18099778096</v>
      </c>
      <c r="AT116" s="447">
        <f t="shared" si="33"/>
        <v>0</v>
      </c>
      <c r="AU116" s="447"/>
      <c r="AV116" s="145"/>
      <c r="AW116" s="145"/>
      <c r="AX116" s="145"/>
      <c r="AY116" s="145"/>
      <c r="AZ116" s="145"/>
      <c r="BA116" s="145"/>
      <c r="BB116" s="145"/>
      <c r="BC116" s="145">
        <f t="shared" si="34"/>
        <v>3115329</v>
      </c>
      <c r="BD116" s="540">
        <f>1%+0.25%</f>
        <v>0.0125</v>
      </c>
      <c r="BE116" s="145"/>
      <c r="BF116" s="145"/>
      <c r="BG116" s="145"/>
      <c r="BH116" s="145"/>
      <c r="BI116" s="145"/>
      <c r="BJ116" s="145"/>
      <c r="BK116" s="145"/>
      <c r="BL116" s="145"/>
      <c r="BM116" s="145"/>
      <c r="BN116" s="145"/>
      <c r="BO116" s="145"/>
      <c r="BP116" s="145"/>
      <c r="BQ116" s="145">
        <v>2215329</v>
      </c>
      <c r="BR116" s="145"/>
      <c r="BS116" s="145">
        <v>900000</v>
      </c>
      <c r="BT116" s="145"/>
      <c r="BU116" s="145"/>
      <c r="BV116" s="145"/>
      <c r="BW116" s="145"/>
      <c r="BX116" s="145"/>
      <c r="BY116" s="145"/>
      <c r="BZ116" s="145"/>
      <c r="CA116" s="145"/>
      <c r="CB116" s="145"/>
      <c r="CC116" s="145"/>
      <c r="CD116" s="145"/>
      <c r="CE116" s="145"/>
      <c r="CF116" s="145"/>
      <c r="CG116" s="145"/>
      <c r="CH116" s="385"/>
      <c r="CJ116" s="385" t="s">
        <v>260</v>
      </c>
      <c r="CM116" s="385" t="s">
        <v>261</v>
      </c>
    </row>
    <row r="117" s="385" customFormat="1" customHeight="1" spans="1:99">
      <c r="A117" s="385">
        <v>110</v>
      </c>
      <c r="C117" s="471">
        <v>45350</v>
      </c>
      <c r="D117" s="385">
        <v>20240001025</v>
      </c>
      <c r="F117" s="456" t="s">
        <v>950</v>
      </c>
      <c r="G117" s="142" t="s">
        <v>951</v>
      </c>
      <c r="I117" s="385" t="s">
        <v>361</v>
      </c>
      <c r="J117" s="385">
        <v>3</v>
      </c>
      <c r="K117" s="385">
        <v>276.2</v>
      </c>
      <c r="L117" s="385">
        <v>276.2</v>
      </c>
      <c r="M117" s="385">
        <v>9100</v>
      </c>
      <c r="N117" s="469">
        <v>2513420</v>
      </c>
      <c r="O117" s="145">
        <v>9100</v>
      </c>
      <c r="Q117" s="385">
        <v>2305889.91</v>
      </c>
      <c r="R117" s="1026" t="s">
        <v>952</v>
      </c>
      <c r="S117" s="471">
        <v>45768</v>
      </c>
      <c r="T117" s="145"/>
      <c r="U117" s="146"/>
      <c r="V117" s="146"/>
      <c r="W117" s="440"/>
      <c r="X117" s="145">
        <v>400000</v>
      </c>
      <c r="Y117" s="146" t="s">
        <v>953</v>
      </c>
      <c r="Z117" s="145">
        <f>100000+1000000</f>
        <v>1100000</v>
      </c>
      <c r="AA117" s="442" t="s">
        <v>953</v>
      </c>
      <c r="AB117" s="145">
        <v>200000</v>
      </c>
      <c r="AC117" s="146">
        <v>45537</v>
      </c>
      <c r="AD117" s="385">
        <v>200000</v>
      </c>
      <c r="AE117" s="146">
        <v>45551</v>
      </c>
      <c r="AF117" s="385">
        <v>580000</v>
      </c>
      <c r="AG117" s="146">
        <v>45565</v>
      </c>
      <c r="AH117" s="145">
        <v>33420</v>
      </c>
      <c r="AI117" s="146" t="s">
        <v>258</v>
      </c>
      <c r="AL117" s="145">
        <f t="shared" si="28"/>
        <v>2513420</v>
      </c>
      <c r="AO117" s="446">
        <f t="shared" si="35"/>
        <v>0</v>
      </c>
      <c r="AP117" s="385">
        <v>15899031737</v>
      </c>
      <c r="AT117" s="447">
        <f t="shared" si="33"/>
        <v>0</v>
      </c>
      <c r="AU117" s="142"/>
      <c r="BC117" s="145">
        <f t="shared" si="34"/>
        <v>2513420</v>
      </c>
      <c r="BD117" s="540">
        <f t="shared" ref="BD117:BD121" si="37">1%+0.18%+0.25%</f>
        <v>0.0143</v>
      </c>
      <c r="BT117" s="385">
        <v>2513420</v>
      </c>
      <c r="CJ117" s="385" t="s">
        <v>260</v>
      </c>
      <c r="CK117" s="385" t="s">
        <v>271</v>
      </c>
      <c r="CM117" s="385" t="s">
        <v>261</v>
      </c>
    </row>
    <row r="118" s="204" customFormat="1" customHeight="1" spans="1:99">
      <c r="A118" s="204">
        <v>111</v>
      </c>
      <c r="C118" s="435"/>
      <c r="F118" s="479"/>
      <c r="I118" s="204" t="s">
        <v>361</v>
      </c>
      <c r="J118" s="204">
        <v>4</v>
      </c>
      <c r="K118" s="204">
        <v>292.95</v>
      </c>
      <c r="N118" s="519"/>
      <c r="O118" s="431">
        <v>9398.59</v>
      </c>
      <c r="P118" s="204"/>
      <c r="T118" s="431"/>
      <c r="U118" s="484"/>
      <c r="V118" s="484"/>
      <c r="W118" s="484"/>
      <c r="X118" s="431"/>
      <c r="Y118" s="484"/>
      <c r="Z118" s="431"/>
      <c r="AA118" s="484"/>
      <c r="AC118" s="436"/>
      <c r="AL118" s="431">
        <f t="shared" si="28"/>
        <v>0</v>
      </c>
      <c r="AO118" s="578">
        <f t="shared" si="35"/>
        <v>0</v>
      </c>
      <c r="AT118" s="438">
        <f t="shared" si="33"/>
        <v>0</v>
      </c>
      <c r="AU118" s="429"/>
      <c r="BC118" s="431">
        <f t="shared" si="34"/>
        <v>0</v>
      </c>
      <c r="BD118" s="139"/>
      <c r="CR118" s="385"/>
      <c r="CU118" s="385"/>
    </row>
    <row r="119" s="385" customFormat="1" ht="67" customHeight="1" spans="1:99">
      <c r="A119" s="385">
        <v>112</v>
      </c>
      <c r="C119" s="471">
        <v>45203</v>
      </c>
      <c r="D119" s="385">
        <v>20230008629</v>
      </c>
      <c r="E119" s="1026" t="s">
        <v>954</v>
      </c>
      <c r="F119" s="456" t="s">
        <v>955</v>
      </c>
      <c r="G119" s="142" t="s">
        <v>956</v>
      </c>
      <c r="I119" s="385" t="s">
        <v>695</v>
      </c>
      <c r="J119" s="385">
        <v>1</v>
      </c>
      <c r="K119" s="385">
        <v>489.11</v>
      </c>
      <c r="L119" s="385">
        <v>489.11</v>
      </c>
      <c r="M119" s="385">
        <v>7600</v>
      </c>
      <c r="N119" s="469">
        <v>3717236</v>
      </c>
      <c r="O119" s="145">
        <v>7447.8</v>
      </c>
      <c r="Q119" s="385">
        <v>3410308.26</v>
      </c>
      <c r="R119" s="1026" t="s">
        <v>957</v>
      </c>
      <c r="S119" s="471">
        <v>45768</v>
      </c>
      <c r="T119" s="145"/>
      <c r="U119" s="146"/>
      <c r="V119" s="468"/>
      <c r="W119" s="440" t="s">
        <v>958</v>
      </c>
      <c r="X119" s="145">
        <v>100000</v>
      </c>
      <c r="Y119" s="146" t="s">
        <v>455</v>
      </c>
      <c r="Z119" s="145">
        <f>109944+210000</f>
        <v>319944</v>
      </c>
      <c r="AA119" s="146" t="s">
        <v>471</v>
      </c>
      <c r="AB119" s="385">
        <v>1290000</v>
      </c>
      <c r="AC119" s="385" t="s">
        <v>679</v>
      </c>
      <c r="AD119" s="385">
        <v>480000</v>
      </c>
      <c r="AE119" s="385" t="s">
        <v>959</v>
      </c>
      <c r="AF119" s="145">
        <v>200000</v>
      </c>
      <c r="AG119" s="146" t="s">
        <v>502</v>
      </c>
      <c r="AH119" s="145">
        <f>77292+1250000</f>
        <v>1327292</v>
      </c>
      <c r="AI119" s="146">
        <v>45561</v>
      </c>
      <c r="AL119" s="145">
        <f t="shared" si="28"/>
        <v>3717236</v>
      </c>
      <c r="AO119" s="446">
        <f t="shared" si="35"/>
        <v>0</v>
      </c>
      <c r="AP119" s="385">
        <v>13999606251</v>
      </c>
      <c r="AT119" s="447">
        <f t="shared" si="33"/>
        <v>700</v>
      </c>
      <c r="AU119" s="447"/>
      <c r="AV119" s="145"/>
      <c r="AW119" s="145"/>
      <c r="AX119" s="145">
        <v>200</v>
      </c>
      <c r="AY119" s="145">
        <v>200</v>
      </c>
      <c r="AZ119" s="145"/>
      <c r="BA119" s="145">
        <v>300</v>
      </c>
      <c r="BB119" s="145"/>
      <c r="BC119" s="145">
        <f t="shared" si="34"/>
        <v>3717236</v>
      </c>
      <c r="BD119" s="140">
        <f t="shared" si="37"/>
        <v>0.0143</v>
      </c>
      <c r="BE119" s="145"/>
      <c r="BF119" s="145"/>
      <c r="BG119" s="145"/>
      <c r="BH119" s="145">
        <v>2189944</v>
      </c>
      <c r="BI119" s="145"/>
      <c r="BJ119" s="145"/>
      <c r="BK119" s="145"/>
      <c r="BL119" s="145"/>
      <c r="BM119" s="145"/>
      <c r="BN119" s="145"/>
      <c r="BO119" s="145"/>
      <c r="BP119" s="145"/>
      <c r="BQ119" s="145"/>
      <c r="BR119" s="145"/>
      <c r="BS119" s="145">
        <v>1450000</v>
      </c>
      <c r="BT119" s="145"/>
      <c r="BU119" s="145"/>
      <c r="BV119" s="145"/>
      <c r="BW119" s="145"/>
      <c r="BX119" s="145"/>
      <c r="BY119" s="145"/>
      <c r="BZ119" s="145"/>
      <c r="CA119" s="145"/>
      <c r="CB119" s="145">
        <v>77292</v>
      </c>
      <c r="CC119" s="145"/>
      <c r="CD119" s="145"/>
      <c r="CE119" s="145"/>
      <c r="CF119" s="145"/>
      <c r="CG119" s="145"/>
      <c r="CH119" s="385"/>
      <c r="CJ119" s="385" t="s">
        <v>260</v>
      </c>
      <c r="CK119" s="385" t="s">
        <v>271</v>
      </c>
      <c r="CM119" s="385" t="s">
        <v>261</v>
      </c>
    </row>
    <row r="120" s="385" customFormat="1" ht="49" customHeight="1" spans="1:99">
      <c r="A120" s="385">
        <v>113</v>
      </c>
      <c r="C120" s="471">
        <v>45417</v>
      </c>
      <c r="D120" s="385">
        <v>20240002594</v>
      </c>
      <c r="F120" s="456" t="s">
        <v>960</v>
      </c>
      <c r="G120" s="142" t="s">
        <v>961</v>
      </c>
      <c r="I120" s="385" t="s">
        <v>695</v>
      </c>
      <c r="J120" s="385">
        <v>2</v>
      </c>
      <c r="K120" s="385">
        <v>569.14</v>
      </c>
      <c r="L120" s="385">
        <v>569.14</v>
      </c>
      <c r="M120" s="385">
        <f>N120/L120</f>
        <v>7000</v>
      </c>
      <c r="N120" s="469">
        <f>-24570+4008550</f>
        <v>3983980</v>
      </c>
      <c r="O120" s="145">
        <v>7000</v>
      </c>
      <c r="Q120" s="385">
        <v>3655027.52</v>
      </c>
      <c r="R120" s="1026" t="s">
        <v>962</v>
      </c>
      <c r="S120" s="471">
        <v>45768</v>
      </c>
      <c r="T120" s="145"/>
      <c r="U120" s="440"/>
      <c r="V120" s="440"/>
      <c r="W120" s="440" t="s">
        <v>963</v>
      </c>
      <c r="X120" s="145">
        <v>50000</v>
      </c>
      <c r="Y120" s="440" t="s">
        <v>964</v>
      </c>
      <c r="Z120" s="145">
        <v>958550</v>
      </c>
      <c r="AA120" s="442" t="s">
        <v>965</v>
      </c>
      <c r="AB120" s="385">
        <v>1000000</v>
      </c>
      <c r="AC120" s="385" t="s">
        <v>966</v>
      </c>
      <c r="AD120" s="145">
        <v>2000000</v>
      </c>
      <c r="AE120" s="440" t="s">
        <v>967</v>
      </c>
      <c r="AF120" s="145">
        <v>-24570</v>
      </c>
      <c r="AG120" s="440"/>
      <c r="AL120" s="145">
        <f t="shared" si="28"/>
        <v>3983980</v>
      </c>
      <c r="AO120" s="446">
        <f t="shared" si="35"/>
        <v>0</v>
      </c>
      <c r="AP120" s="385">
        <v>18909966788</v>
      </c>
      <c r="AT120" s="447">
        <f t="shared" si="33"/>
        <v>900</v>
      </c>
      <c r="AU120" s="447"/>
      <c r="AV120" s="145">
        <v>200</v>
      </c>
      <c r="AW120" s="145"/>
      <c r="AX120" s="145"/>
      <c r="AY120" s="145">
        <f>200+200</f>
        <v>400</v>
      </c>
      <c r="AZ120" s="145"/>
      <c r="BA120" s="145">
        <v>300</v>
      </c>
      <c r="BB120" s="145"/>
      <c r="BC120" s="145">
        <f t="shared" si="34"/>
        <v>3983980</v>
      </c>
      <c r="BD120" s="395">
        <f t="shared" si="37"/>
        <v>0.0143</v>
      </c>
      <c r="BE120" s="145"/>
      <c r="BF120" s="145"/>
      <c r="BG120" s="145"/>
      <c r="BH120" s="145"/>
      <c r="BI120" s="145"/>
      <c r="BJ120" s="145"/>
      <c r="BK120" s="145"/>
      <c r="BL120" s="145"/>
      <c r="BM120" s="145"/>
      <c r="BN120" s="145"/>
      <c r="BO120" s="145">
        <v>2008550</v>
      </c>
      <c r="BP120" s="145">
        <v>2000000</v>
      </c>
      <c r="BQ120" s="145"/>
      <c r="BR120" s="145"/>
      <c r="BS120" s="145"/>
      <c r="BT120" s="145"/>
      <c r="BU120" s="145"/>
      <c r="BV120" s="145"/>
      <c r="BW120" s="145"/>
      <c r="BX120" s="145"/>
      <c r="BY120" s="145"/>
      <c r="BZ120" s="145"/>
      <c r="CA120" s="145"/>
      <c r="CB120" s="145">
        <v>-24570</v>
      </c>
      <c r="CC120" s="145"/>
      <c r="CD120" s="145"/>
      <c r="CE120" s="145"/>
      <c r="CF120" s="145"/>
      <c r="CG120" s="145"/>
      <c r="CJ120" s="385" t="s">
        <v>260</v>
      </c>
      <c r="CK120" s="385" t="s">
        <v>271</v>
      </c>
      <c r="CM120" s="385" t="s">
        <v>261</v>
      </c>
    </row>
    <row r="121" s="385" customFormat="1" ht="57" customHeight="1" spans="1:99">
      <c r="A121" s="385">
        <v>114</v>
      </c>
      <c r="C121" s="471">
        <v>45130</v>
      </c>
      <c r="D121" s="385">
        <v>20230006201</v>
      </c>
      <c r="E121" s="1026" t="s">
        <v>968</v>
      </c>
      <c r="F121" s="456" t="s">
        <v>969</v>
      </c>
      <c r="G121" s="142" t="s">
        <v>970</v>
      </c>
      <c r="H121" s="125" t="s">
        <v>971</v>
      </c>
      <c r="I121" s="385" t="s">
        <v>254</v>
      </c>
      <c r="J121" s="385">
        <v>1</v>
      </c>
      <c r="K121" s="385">
        <v>58.46</v>
      </c>
      <c r="L121" s="385">
        <v>58.46</v>
      </c>
      <c r="M121" s="385">
        <v>26290.01</v>
      </c>
      <c r="N121" s="469">
        <v>1536914</v>
      </c>
      <c r="O121" s="145">
        <v>26190</v>
      </c>
      <c r="P121" s="385"/>
      <c r="Q121" s="385">
        <v>1410012.84</v>
      </c>
      <c r="R121" s="1026" t="s">
        <v>972</v>
      </c>
      <c r="S121" s="471">
        <v>45621</v>
      </c>
      <c r="T121" s="145"/>
      <c r="U121" s="440"/>
      <c r="V121" s="440" t="s">
        <v>973</v>
      </c>
      <c r="W121" s="440" t="s">
        <v>974</v>
      </c>
      <c r="X121" s="145">
        <f>5000+10000-10000+10000-10000</f>
        <v>5000</v>
      </c>
      <c r="Y121" s="440" t="s">
        <v>975</v>
      </c>
      <c r="Z121" s="145">
        <v>100000</v>
      </c>
      <c r="AA121" s="440" t="s">
        <v>976</v>
      </c>
      <c r="AB121" s="145">
        <v>1436651</v>
      </c>
      <c r="AC121" s="440" t="s">
        <v>977</v>
      </c>
      <c r="AD121" s="145">
        <v>263</v>
      </c>
      <c r="AE121" s="440" t="s">
        <v>839</v>
      </c>
      <c r="AL121" s="145">
        <f t="shared" si="28"/>
        <v>1541914</v>
      </c>
      <c r="AO121" s="446">
        <f t="shared" si="35"/>
        <v>-5000</v>
      </c>
      <c r="AT121" s="447">
        <f t="shared" si="33"/>
        <v>3200</v>
      </c>
      <c r="AU121" s="447">
        <f>200</f>
        <v>200</v>
      </c>
      <c r="AV121" s="145"/>
      <c r="AW121" s="145">
        <f>200+200+200+200</f>
        <v>800</v>
      </c>
      <c r="AX121" s="145"/>
      <c r="AY121" s="145">
        <f>200+200+200+200+200+200</f>
        <v>1200</v>
      </c>
      <c r="AZ121" s="145">
        <f>200+200</f>
        <v>400</v>
      </c>
      <c r="BA121" s="145">
        <f>300+300</f>
        <v>600</v>
      </c>
      <c r="BB121" s="145"/>
      <c r="BC121" s="145">
        <f t="shared" si="34"/>
        <v>1536651</v>
      </c>
      <c r="BD121" s="540">
        <f t="shared" si="37"/>
        <v>0.0143</v>
      </c>
      <c r="BE121" s="145">
        <v>1536651</v>
      </c>
      <c r="BF121" s="145"/>
      <c r="BG121" s="145"/>
      <c r="BH121" s="145"/>
      <c r="BI121" s="145"/>
      <c r="BJ121" s="145"/>
      <c r="BK121" s="145"/>
      <c r="BL121" s="145"/>
      <c r="BM121" s="145"/>
      <c r="BN121" s="145"/>
      <c r="BO121" s="145"/>
      <c r="BP121" s="145"/>
      <c r="BQ121" s="145"/>
      <c r="BR121" s="145"/>
      <c r="BS121" s="145"/>
      <c r="BT121" s="145"/>
      <c r="BU121" s="145"/>
      <c r="BV121" s="145"/>
      <c r="BW121" s="145"/>
      <c r="BX121" s="145"/>
      <c r="BY121" s="145"/>
      <c r="BZ121" s="145"/>
      <c r="CA121" s="145"/>
      <c r="CB121" s="145"/>
      <c r="CC121" s="145"/>
      <c r="CD121" s="145"/>
      <c r="CE121" s="145"/>
      <c r="CF121" s="145"/>
      <c r="CG121" s="145"/>
      <c r="CH121" s="385"/>
      <c r="CJ121" s="385" t="s">
        <v>260</v>
      </c>
      <c r="CK121" s="385" t="s">
        <v>271</v>
      </c>
      <c r="CM121" s="385" t="s">
        <v>261</v>
      </c>
    </row>
    <row r="122" s="385" customFormat="1" ht="73" customHeight="1" spans="1:99">
      <c r="A122" s="385">
        <v>115</v>
      </c>
      <c r="C122" s="471">
        <v>45149</v>
      </c>
      <c r="D122" s="385">
        <v>20230006847</v>
      </c>
      <c r="E122" s="1026" t="s">
        <v>978</v>
      </c>
      <c r="F122" s="456" t="s">
        <v>979</v>
      </c>
      <c r="G122" s="142" t="s">
        <v>980</v>
      </c>
      <c r="H122" s="125"/>
      <c r="I122" s="385" t="s">
        <v>254</v>
      </c>
      <c r="J122" s="385">
        <v>2</v>
      </c>
      <c r="K122" s="385">
        <v>41.69</v>
      </c>
      <c r="L122" s="385">
        <v>41.69</v>
      </c>
      <c r="M122" s="385">
        <v>24675</v>
      </c>
      <c r="N122" s="469">
        <v>1028701</v>
      </c>
      <c r="O122" s="145">
        <v>24475.1</v>
      </c>
      <c r="Q122" s="385">
        <v>943762.39</v>
      </c>
      <c r="R122" s="1026" t="s">
        <v>981</v>
      </c>
      <c r="S122" s="471">
        <v>45768</v>
      </c>
      <c r="T122" s="145"/>
      <c r="U122" s="440"/>
      <c r="V122" s="440" t="s">
        <v>982</v>
      </c>
      <c r="W122" s="440" t="s">
        <v>983</v>
      </c>
      <c r="X122" s="145">
        <f>5000+5000+5000+85000</f>
        <v>100000</v>
      </c>
      <c r="Y122" s="440" t="s">
        <v>984</v>
      </c>
      <c r="Z122" s="145">
        <f>360000+58454</f>
        <v>418454</v>
      </c>
      <c r="AA122" s="440" t="s">
        <v>985</v>
      </c>
      <c r="AB122" s="145">
        <v>510000</v>
      </c>
      <c r="AC122" s="440" t="s">
        <v>918</v>
      </c>
      <c r="AL122" s="145">
        <f t="shared" si="28"/>
        <v>1028454</v>
      </c>
      <c r="AO122" s="446">
        <f t="shared" si="35"/>
        <v>247</v>
      </c>
      <c r="AP122" s="385">
        <v>17399100888</v>
      </c>
      <c r="AT122" s="447">
        <f t="shared" si="33"/>
        <v>1600</v>
      </c>
      <c r="AU122" s="447">
        <f>200</f>
        <v>200</v>
      </c>
      <c r="AV122" s="145">
        <f>200+200</f>
        <v>400</v>
      </c>
      <c r="AW122" s="145"/>
      <c r="AX122" s="145"/>
      <c r="AY122" s="145">
        <v>200</v>
      </c>
      <c r="AZ122" s="145">
        <v>200</v>
      </c>
      <c r="BA122" s="145">
        <f>300+300</f>
        <v>600</v>
      </c>
      <c r="BB122" s="145"/>
      <c r="BC122" s="145">
        <f t="shared" si="34"/>
        <v>1028454</v>
      </c>
      <c r="BD122" s="540">
        <f>1%+0.25%</f>
        <v>0.0125</v>
      </c>
      <c r="BE122" s="145"/>
      <c r="BF122" s="145">
        <v>518454</v>
      </c>
      <c r="BG122" s="145">
        <v>510000</v>
      </c>
      <c r="BH122" s="145"/>
      <c r="BI122" s="145"/>
      <c r="BJ122" s="145"/>
      <c r="BK122" s="145"/>
      <c r="BL122" s="145"/>
      <c r="BM122" s="145"/>
      <c r="BN122" s="145"/>
      <c r="BO122" s="145"/>
      <c r="BP122" s="145"/>
      <c r="BQ122" s="145"/>
      <c r="BR122" s="145"/>
      <c r="BS122" s="145"/>
      <c r="BT122" s="145"/>
      <c r="BU122" s="145"/>
      <c r="BV122" s="145"/>
      <c r="BW122" s="145"/>
      <c r="BX122" s="145"/>
      <c r="BY122" s="145"/>
      <c r="BZ122" s="145"/>
      <c r="CA122" s="145"/>
      <c r="CB122" s="145"/>
      <c r="CC122" s="145"/>
      <c r="CD122" s="145"/>
      <c r="CE122" s="145"/>
      <c r="CF122" s="145"/>
      <c r="CG122" s="145"/>
      <c r="CH122" s="385"/>
      <c r="CJ122" s="385" t="s">
        <v>260</v>
      </c>
      <c r="CK122" s="385" t="s">
        <v>271</v>
      </c>
      <c r="CM122" s="385" t="s">
        <v>261</v>
      </c>
    </row>
    <row r="123" s="385" customFormat="1" ht="66" customHeight="1" spans="1:99">
      <c r="A123" s="385">
        <v>116</v>
      </c>
      <c r="C123" s="471">
        <v>45149</v>
      </c>
      <c r="D123" s="385">
        <v>20230006849</v>
      </c>
      <c r="E123" s="1026" t="s">
        <v>986</v>
      </c>
      <c r="F123" s="456" t="s">
        <v>979</v>
      </c>
      <c r="G123" s="142" t="s">
        <v>980</v>
      </c>
      <c r="H123" s="125"/>
      <c r="I123" s="385" t="s">
        <v>254</v>
      </c>
      <c r="J123" s="385">
        <v>3</v>
      </c>
      <c r="K123" s="385">
        <v>42.7</v>
      </c>
      <c r="L123" s="385">
        <v>42.7</v>
      </c>
      <c r="M123" s="385">
        <v>23799.7</v>
      </c>
      <c r="N123" s="469">
        <v>1016247</v>
      </c>
      <c r="O123" s="145">
        <v>23599.7</v>
      </c>
      <c r="P123" s="385"/>
      <c r="Q123" s="442">
        <v>932336.7</v>
      </c>
      <c r="R123" s="1026" t="s">
        <v>987</v>
      </c>
      <c r="S123" s="471">
        <v>45768</v>
      </c>
      <c r="T123" s="145"/>
      <c r="U123" s="440"/>
      <c r="V123" s="440"/>
      <c r="W123" s="440" t="s">
        <v>983</v>
      </c>
      <c r="X123" s="145">
        <f>5000-5000+100000</f>
        <v>100000</v>
      </c>
      <c r="Y123" s="440" t="s">
        <v>988</v>
      </c>
      <c r="Z123" s="145">
        <f>416009</f>
        <v>416009</v>
      </c>
      <c r="AA123" s="440" t="s">
        <v>985</v>
      </c>
      <c r="AB123" s="145">
        <v>500000</v>
      </c>
      <c r="AC123" s="440" t="s">
        <v>918</v>
      </c>
      <c r="AL123" s="145">
        <f t="shared" si="28"/>
        <v>1016009</v>
      </c>
      <c r="AO123" s="446">
        <f t="shared" si="35"/>
        <v>238</v>
      </c>
      <c r="AT123" s="447">
        <f t="shared" si="33"/>
        <v>1100</v>
      </c>
      <c r="AU123" s="447"/>
      <c r="AV123" s="145">
        <f>200+200+200</f>
        <v>600</v>
      </c>
      <c r="AW123" s="145"/>
      <c r="AX123" s="145"/>
      <c r="AY123" s="145">
        <v>200</v>
      </c>
      <c r="AZ123" s="145"/>
      <c r="BA123" s="145">
        <v>300</v>
      </c>
      <c r="BB123" s="145"/>
      <c r="BC123" s="145">
        <f t="shared" si="34"/>
        <v>1016009</v>
      </c>
      <c r="BD123" s="540">
        <f>1%+0.25%</f>
        <v>0.0125</v>
      </c>
      <c r="BE123" s="145"/>
      <c r="BF123" s="145">
        <v>516009</v>
      </c>
      <c r="BG123" s="145">
        <v>500000</v>
      </c>
      <c r="BH123" s="145"/>
      <c r="BI123" s="145"/>
      <c r="BJ123" s="145"/>
      <c r="BK123" s="145"/>
      <c r="BL123" s="145"/>
      <c r="BM123" s="145"/>
      <c r="BN123" s="145"/>
      <c r="BO123" s="145"/>
      <c r="BP123" s="145"/>
      <c r="BQ123" s="145"/>
      <c r="BR123" s="145"/>
      <c r="BS123" s="145"/>
      <c r="BT123" s="145"/>
      <c r="BU123" s="145"/>
      <c r="BV123" s="145"/>
      <c r="BW123" s="145"/>
      <c r="BX123" s="145"/>
      <c r="BY123" s="145"/>
      <c r="BZ123" s="145"/>
      <c r="CA123" s="145"/>
      <c r="CB123" s="145"/>
      <c r="CC123" s="145"/>
      <c r="CD123" s="145"/>
      <c r="CE123" s="145"/>
      <c r="CF123" s="145"/>
      <c r="CG123" s="145"/>
      <c r="CH123" s="385"/>
      <c r="CJ123" s="385" t="s">
        <v>260</v>
      </c>
      <c r="CK123" s="385" t="s">
        <v>271</v>
      </c>
      <c r="CM123" s="385" t="s">
        <v>261</v>
      </c>
    </row>
    <row r="124" s="385" customFormat="1" customHeight="1" spans="1:99">
      <c r="A124" s="385">
        <v>117</v>
      </c>
      <c r="C124" s="471">
        <v>45130</v>
      </c>
      <c r="D124" s="385">
        <v>20230006188</v>
      </c>
      <c r="E124" s="1026" t="s">
        <v>989</v>
      </c>
      <c r="F124" s="456" t="s">
        <v>990</v>
      </c>
      <c r="G124" s="142" t="s">
        <v>991</v>
      </c>
      <c r="H124" s="125"/>
      <c r="I124" s="385" t="s">
        <v>254</v>
      </c>
      <c r="J124" s="385">
        <v>4</v>
      </c>
      <c r="K124" s="385">
        <v>42.7</v>
      </c>
      <c r="L124" s="385">
        <v>42.7</v>
      </c>
      <c r="M124" s="385">
        <v>23793.72</v>
      </c>
      <c r="N124" s="469">
        <v>1015992</v>
      </c>
      <c r="O124" s="145">
        <v>23693.72</v>
      </c>
      <c r="Q124" s="385">
        <v>932102.75</v>
      </c>
      <c r="R124" s="1026" t="s">
        <v>992</v>
      </c>
      <c r="S124" s="471">
        <v>45618</v>
      </c>
      <c r="T124" s="145"/>
      <c r="U124" s="440"/>
      <c r="V124" s="440"/>
      <c r="W124" s="440" t="s">
        <v>993</v>
      </c>
      <c r="X124" s="145">
        <f>100000</f>
        <v>100000</v>
      </c>
      <c r="Y124" s="440" t="s">
        <v>342</v>
      </c>
      <c r="Z124" s="145">
        <v>915754</v>
      </c>
      <c r="AA124" s="440" t="s">
        <v>994</v>
      </c>
      <c r="AB124" s="145">
        <v>238</v>
      </c>
      <c r="AC124" s="440" t="s">
        <v>839</v>
      </c>
      <c r="AL124" s="145">
        <f t="shared" si="28"/>
        <v>1015992</v>
      </c>
      <c r="AO124" s="446">
        <f t="shared" si="35"/>
        <v>0</v>
      </c>
      <c r="AP124" s="385">
        <v>15209968666</v>
      </c>
      <c r="AT124" s="447">
        <f t="shared" si="33"/>
        <v>700</v>
      </c>
      <c r="AU124" s="447">
        <f>200</f>
        <v>200</v>
      </c>
      <c r="AV124" s="145">
        <v>200</v>
      </c>
      <c r="AW124" s="145"/>
      <c r="AX124" s="145"/>
      <c r="AY124" s="145"/>
      <c r="AZ124" s="145"/>
      <c r="BA124" s="145">
        <v>300</v>
      </c>
      <c r="BB124" s="145"/>
      <c r="BC124" s="145">
        <f t="shared" si="34"/>
        <v>1015754</v>
      </c>
      <c r="BD124" s="540">
        <f>1%+0.25%</f>
        <v>0.0125</v>
      </c>
      <c r="BE124" s="145">
        <v>1015754</v>
      </c>
      <c r="BF124" s="145"/>
      <c r="BG124" s="145"/>
      <c r="BH124" s="145"/>
      <c r="BI124" s="145"/>
      <c r="BJ124" s="145"/>
      <c r="BK124" s="145"/>
      <c r="BL124" s="145"/>
      <c r="BM124" s="145"/>
      <c r="BN124" s="145"/>
      <c r="BO124" s="145"/>
      <c r="BP124" s="145"/>
      <c r="BQ124" s="145"/>
      <c r="BR124" s="145"/>
      <c r="BS124" s="145"/>
      <c r="BT124" s="145"/>
      <c r="BU124" s="145"/>
      <c r="BV124" s="145"/>
      <c r="BW124" s="145"/>
      <c r="BX124" s="145"/>
      <c r="BY124" s="145"/>
      <c r="BZ124" s="145"/>
      <c r="CA124" s="145"/>
      <c r="CB124" s="145"/>
      <c r="CC124" s="145"/>
      <c r="CD124" s="145"/>
      <c r="CE124" s="145"/>
      <c r="CF124" s="145"/>
      <c r="CG124" s="145"/>
      <c r="CH124" s="385"/>
      <c r="CJ124" s="385" t="s">
        <v>260</v>
      </c>
      <c r="CK124" s="385" t="s">
        <v>271</v>
      </c>
      <c r="CM124" s="385" t="s">
        <v>261</v>
      </c>
    </row>
    <row r="125" s="385" customFormat="1" ht="72" customHeight="1" spans="1:99">
      <c r="A125" s="385">
        <v>118</v>
      </c>
      <c r="C125" s="471">
        <v>45130</v>
      </c>
      <c r="D125" s="385">
        <v>20230006199</v>
      </c>
      <c r="E125" s="1026" t="s">
        <v>995</v>
      </c>
      <c r="F125" s="456" t="s">
        <v>996</v>
      </c>
      <c r="G125" s="142" t="s">
        <v>997</v>
      </c>
      <c r="H125" s="125"/>
      <c r="I125" s="385" t="s">
        <v>254</v>
      </c>
      <c r="J125" s="385">
        <v>5</v>
      </c>
      <c r="K125" s="385">
        <v>42.7</v>
      </c>
      <c r="L125" s="385">
        <v>42.7</v>
      </c>
      <c r="M125" s="385">
        <v>23887.75</v>
      </c>
      <c r="N125" s="469">
        <v>1020007</v>
      </c>
      <c r="O125" s="145">
        <v>23787.75</v>
      </c>
      <c r="Q125" s="385">
        <v>935786.24</v>
      </c>
      <c r="R125" s="1026" t="s">
        <v>998</v>
      </c>
      <c r="S125" s="471">
        <v>45618</v>
      </c>
      <c r="T125" s="145"/>
      <c r="U125" s="146"/>
      <c r="V125" s="440" t="s">
        <v>999</v>
      </c>
      <c r="W125" s="440" t="s">
        <v>993</v>
      </c>
      <c r="X125" s="145">
        <f>10000+60000+10000+10000+10000</f>
        <v>100000</v>
      </c>
      <c r="Y125" s="440" t="s">
        <v>1000</v>
      </c>
      <c r="Z125" s="145">
        <v>919768</v>
      </c>
      <c r="AA125" s="146" t="s">
        <v>994</v>
      </c>
      <c r="AB125" s="145">
        <v>239</v>
      </c>
      <c r="AC125" s="146" t="s">
        <v>839</v>
      </c>
      <c r="AL125" s="145">
        <f t="shared" ref="AL125:AL150" si="38">X125+Z125+AB125+AD125+AF125+AH125+AJ125</f>
        <v>1020007</v>
      </c>
      <c r="AO125" s="446">
        <f t="shared" si="35"/>
        <v>0</v>
      </c>
      <c r="AT125" s="447">
        <f t="shared" si="33"/>
        <v>1300</v>
      </c>
      <c r="AU125" s="447">
        <f>200</f>
        <v>200</v>
      </c>
      <c r="AV125" s="145"/>
      <c r="AW125" s="145">
        <v>200</v>
      </c>
      <c r="AX125" s="145"/>
      <c r="AY125" s="145"/>
      <c r="AZ125" s="145"/>
      <c r="BA125" s="145">
        <f>300+300+300</f>
        <v>900</v>
      </c>
      <c r="BB125" s="145"/>
      <c r="BC125" s="145">
        <f t="shared" si="34"/>
        <v>1019768</v>
      </c>
      <c r="BD125" s="540">
        <f>1%+0.25%</f>
        <v>0.0125</v>
      </c>
      <c r="BE125" s="145">
        <v>1019768</v>
      </c>
      <c r="BF125" s="145"/>
      <c r="BG125" s="145"/>
      <c r="BH125" s="145"/>
      <c r="BI125" s="145"/>
      <c r="BJ125" s="145"/>
      <c r="BK125" s="145"/>
      <c r="BL125" s="145"/>
      <c r="BM125" s="145"/>
      <c r="BN125" s="145"/>
      <c r="BO125" s="145"/>
      <c r="BP125" s="145"/>
      <c r="BQ125" s="145"/>
      <c r="BR125" s="145"/>
      <c r="BS125" s="145"/>
      <c r="BT125" s="145"/>
      <c r="BU125" s="145"/>
      <c r="BV125" s="145"/>
      <c r="BW125" s="145"/>
      <c r="BX125" s="145"/>
      <c r="BY125" s="145"/>
      <c r="BZ125" s="145"/>
      <c r="CA125" s="145"/>
      <c r="CB125" s="145"/>
      <c r="CC125" s="145"/>
      <c r="CD125" s="145"/>
      <c r="CE125" s="145"/>
      <c r="CF125" s="145"/>
      <c r="CG125" s="145"/>
      <c r="CH125" s="385"/>
      <c r="CJ125" s="385" t="s">
        <v>260</v>
      </c>
      <c r="CK125" s="385" t="s">
        <v>271</v>
      </c>
      <c r="CM125" s="385" t="s">
        <v>261</v>
      </c>
    </row>
    <row r="126" s="385" customFormat="1" ht="87" customHeight="1" spans="1:99">
      <c r="A126" s="385">
        <v>119</v>
      </c>
      <c r="C126" s="471">
        <v>45110</v>
      </c>
      <c r="D126" s="385">
        <v>20230005506</v>
      </c>
      <c r="E126" s="1026" t="s">
        <v>1001</v>
      </c>
      <c r="F126" s="456" t="s">
        <v>1002</v>
      </c>
      <c r="G126" s="142" t="s">
        <v>1003</v>
      </c>
      <c r="H126" s="125"/>
      <c r="I126" s="385" t="s">
        <v>254</v>
      </c>
      <c r="J126" s="385">
        <v>6</v>
      </c>
      <c r="K126" s="385">
        <v>42.7</v>
      </c>
      <c r="L126" s="385">
        <v>42.7</v>
      </c>
      <c r="M126" s="385">
        <v>24181.76</v>
      </c>
      <c r="N126" s="469">
        <v>1032561</v>
      </c>
      <c r="O126" s="145">
        <v>23881.77</v>
      </c>
      <c r="Q126" s="385">
        <v>947303.67</v>
      </c>
      <c r="R126" s="1026" t="s">
        <v>1004</v>
      </c>
      <c r="S126" s="471">
        <v>45768</v>
      </c>
      <c r="T126" s="145"/>
      <c r="U126" s="440"/>
      <c r="V126" s="440" t="s">
        <v>1005</v>
      </c>
      <c r="W126" s="440" t="s">
        <v>1006</v>
      </c>
      <c r="X126" s="145">
        <f>5000-5000+5000+5000+5000+5000</f>
        <v>20000</v>
      </c>
      <c r="Y126" s="440" t="s">
        <v>1007</v>
      </c>
      <c r="Z126" s="145">
        <v>80000</v>
      </c>
      <c r="AA126" s="442" t="s">
        <v>1008</v>
      </c>
      <c r="AB126" s="145">
        <v>212319</v>
      </c>
      <c r="AC126" s="442">
        <v>2023.7</v>
      </c>
      <c r="AD126" s="145">
        <f>200000+10000</f>
        <v>210000</v>
      </c>
      <c r="AE126" s="440" t="s">
        <v>1009</v>
      </c>
      <c r="AF126" s="145">
        <v>360000</v>
      </c>
      <c r="AG126" s="440" t="s">
        <v>1010</v>
      </c>
      <c r="AH126" s="385">
        <v>150000</v>
      </c>
      <c r="AI126" s="385" t="s">
        <v>1010</v>
      </c>
      <c r="AJ126" s="145">
        <v>242</v>
      </c>
      <c r="AK126" s="440" t="s">
        <v>1011</v>
      </c>
      <c r="AL126" s="145">
        <f t="shared" si="38"/>
        <v>1032561</v>
      </c>
      <c r="AO126" s="446">
        <f t="shared" si="35"/>
        <v>0</v>
      </c>
      <c r="AP126" s="385">
        <v>13899005378</v>
      </c>
      <c r="AT126" s="447">
        <f t="shared" si="33"/>
        <v>2000</v>
      </c>
      <c r="AU126" s="447">
        <f>200</f>
        <v>200</v>
      </c>
      <c r="AV126" s="145">
        <f>200+200+200</f>
        <v>600</v>
      </c>
      <c r="AW126" s="145">
        <v>200</v>
      </c>
      <c r="AX126" s="145">
        <v>200</v>
      </c>
      <c r="AY126" s="145">
        <v>200</v>
      </c>
      <c r="AZ126" s="145"/>
      <c r="BA126" s="145">
        <f>300+300</f>
        <v>600</v>
      </c>
      <c r="BB126" s="145"/>
      <c r="BC126" s="145">
        <f t="shared" si="34"/>
        <v>1032319</v>
      </c>
      <c r="BD126" s="540">
        <f>1%+0.18%+0.25%</f>
        <v>0.0143</v>
      </c>
      <c r="BE126" s="145"/>
      <c r="BF126" s="145"/>
      <c r="BG126" s="145"/>
      <c r="BH126" s="145"/>
      <c r="BI126" s="145"/>
      <c r="BJ126" s="145">
        <v>1032319</v>
      </c>
      <c r="BK126" s="145"/>
      <c r="BL126" s="145"/>
      <c r="BM126" s="145"/>
      <c r="BN126" s="145"/>
      <c r="BO126" s="145"/>
      <c r="BP126" s="145"/>
      <c r="BQ126" s="145"/>
      <c r="BR126" s="145"/>
      <c r="BS126" s="145"/>
      <c r="BT126" s="145"/>
      <c r="BU126" s="145"/>
      <c r="BV126" s="145"/>
      <c r="BW126" s="145"/>
      <c r="BX126" s="145"/>
      <c r="BY126" s="145"/>
      <c r="BZ126" s="145"/>
      <c r="CA126" s="145"/>
      <c r="CB126" s="145"/>
      <c r="CC126" s="145"/>
      <c r="CD126" s="145"/>
      <c r="CE126" s="145"/>
      <c r="CF126" s="145"/>
      <c r="CG126" s="145"/>
      <c r="CH126" s="385"/>
      <c r="CJ126" s="385" t="s">
        <v>260</v>
      </c>
      <c r="CK126" s="385" t="s">
        <v>271</v>
      </c>
      <c r="CM126" s="385" t="s">
        <v>261</v>
      </c>
    </row>
    <row r="127" s="385" customFormat="1" ht="39" customHeight="1" spans="1:99">
      <c r="A127" s="385">
        <v>120</v>
      </c>
      <c r="C127" s="471">
        <v>45120</v>
      </c>
      <c r="D127" s="385">
        <v>20230005811</v>
      </c>
      <c r="E127" s="1026" t="s">
        <v>1012</v>
      </c>
      <c r="F127" s="456" t="s">
        <v>1013</v>
      </c>
      <c r="G127" s="142" t="s">
        <v>1014</v>
      </c>
      <c r="H127" s="125"/>
      <c r="I127" s="385" t="s">
        <v>254</v>
      </c>
      <c r="J127" s="385">
        <v>7</v>
      </c>
      <c r="K127" s="385">
        <v>42.7</v>
      </c>
      <c r="L127" s="385">
        <v>42.7</v>
      </c>
      <c r="M127" s="385">
        <v>23799.7</v>
      </c>
      <c r="N127" s="469">
        <v>1016247</v>
      </c>
      <c r="O127" s="145">
        <v>23599.7</v>
      </c>
      <c r="Q127" s="442">
        <v>932336.7</v>
      </c>
      <c r="R127" s="1026" t="s">
        <v>1015</v>
      </c>
      <c r="S127" s="471">
        <v>45768</v>
      </c>
      <c r="T127" s="145"/>
      <c r="U127" s="440"/>
      <c r="V127" s="440" t="s">
        <v>1016</v>
      </c>
      <c r="W127" s="440" t="s">
        <v>1017</v>
      </c>
      <c r="X127" s="145">
        <f>5000-5000+10000-10000+5000+95000</f>
        <v>100000</v>
      </c>
      <c r="Y127" s="440" t="s">
        <v>1018</v>
      </c>
      <c r="Z127" s="145">
        <v>316009</v>
      </c>
      <c r="AA127" s="440" t="s">
        <v>1019</v>
      </c>
      <c r="AB127" s="145">
        <f>410000+190000</f>
        <v>600000</v>
      </c>
      <c r="AC127" s="442" t="s">
        <v>826</v>
      </c>
      <c r="AL127" s="145">
        <f t="shared" si="38"/>
        <v>1016009</v>
      </c>
      <c r="AO127" s="446">
        <f t="shared" si="35"/>
        <v>238</v>
      </c>
      <c r="AP127" s="385">
        <v>15739856132</v>
      </c>
      <c r="AT127" s="447">
        <f t="shared" si="33"/>
        <v>600</v>
      </c>
      <c r="AU127" s="447"/>
      <c r="AV127" s="145">
        <f>200+200</f>
        <v>400</v>
      </c>
      <c r="AW127" s="145"/>
      <c r="AX127" s="145"/>
      <c r="AY127" s="145"/>
      <c r="AZ127" s="145">
        <v>200</v>
      </c>
      <c r="BA127" s="145"/>
      <c r="BB127" s="145"/>
      <c r="BC127" s="145">
        <f t="shared" si="34"/>
        <v>1016009</v>
      </c>
      <c r="BD127" s="540">
        <f>1%+0.25%</f>
        <v>0.0125</v>
      </c>
      <c r="BE127" s="145">
        <v>1016009</v>
      </c>
      <c r="BF127" s="145"/>
      <c r="BG127" s="145"/>
      <c r="BH127" s="145"/>
      <c r="BI127" s="145"/>
      <c r="BJ127" s="145"/>
      <c r="BK127" s="145"/>
      <c r="BL127" s="145"/>
      <c r="BM127" s="145"/>
      <c r="BN127" s="145"/>
      <c r="BO127" s="145"/>
      <c r="BP127" s="145"/>
      <c r="BQ127" s="145"/>
      <c r="BR127" s="145"/>
      <c r="BS127" s="145"/>
      <c r="BT127" s="145"/>
      <c r="BU127" s="145"/>
      <c r="BV127" s="145"/>
      <c r="BW127" s="145"/>
      <c r="BX127" s="145"/>
      <c r="BY127" s="145"/>
      <c r="BZ127" s="145"/>
      <c r="CA127" s="145"/>
      <c r="CB127" s="145"/>
      <c r="CC127" s="145"/>
      <c r="CD127" s="145"/>
      <c r="CE127" s="145"/>
      <c r="CF127" s="145"/>
      <c r="CG127" s="145"/>
      <c r="CH127" s="385"/>
      <c r="CJ127" s="385" t="s">
        <v>260</v>
      </c>
      <c r="CK127" s="385" t="s">
        <v>271</v>
      </c>
      <c r="CM127" s="385" t="s">
        <v>261</v>
      </c>
    </row>
    <row r="128" s="385" customFormat="1" ht="39" customHeight="1" spans="1:99">
      <c r="A128" s="385">
        <v>121</v>
      </c>
      <c r="C128" s="471">
        <v>45117</v>
      </c>
      <c r="D128" s="385">
        <v>20230005770</v>
      </c>
      <c r="E128" s="1026" t="s">
        <v>1020</v>
      </c>
      <c r="F128" s="456" t="s">
        <v>1021</v>
      </c>
      <c r="G128" s="142" t="s">
        <v>1022</v>
      </c>
      <c r="H128" s="125"/>
      <c r="I128" s="385" t="s">
        <v>254</v>
      </c>
      <c r="J128" s="385">
        <v>8</v>
      </c>
      <c r="K128" s="385">
        <v>42.7</v>
      </c>
      <c r="L128" s="385">
        <v>42.7</v>
      </c>
      <c r="M128" s="385">
        <v>24475.79</v>
      </c>
      <c r="N128" s="469">
        <v>1045116</v>
      </c>
      <c r="O128" s="145">
        <v>23975.79</v>
      </c>
      <c r="P128" s="385"/>
      <c r="Q128" s="385">
        <v>958822.02</v>
      </c>
      <c r="R128" s="1026" t="s">
        <v>1023</v>
      </c>
      <c r="S128" s="471">
        <v>45768</v>
      </c>
      <c r="T128" s="145"/>
      <c r="U128" s="440"/>
      <c r="V128" s="440" t="s">
        <v>1024</v>
      </c>
      <c r="W128" s="440" t="s">
        <v>1025</v>
      </c>
      <c r="X128" s="145">
        <f>5000+5000-5000+5000+95000-5000</f>
        <v>100000</v>
      </c>
      <c r="Y128" s="440" t="s">
        <v>1026</v>
      </c>
      <c r="Z128" s="145">
        <v>944872</v>
      </c>
      <c r="AA128" s="440" t="s">
        <v>1027</v>
      </c>
      <c r="AB128" s="145">
        <v>245</v>
      </c>
      <c r="AC128" s="440" t="s">
        <v>1028</v>
      </c>
      <c r="AL128" s="145">
        <f t="shared" si="38"/>
        <v>1045117</v>
      </c>
      <c r="AO128" s="446">
        <f t="shared" si="35"/>
        <v>-1</v>
      </c>
      <c r="AP128" s="385">
        <v>15099460058</v>
      </c>
      <c r="AT128" s="447">
        <f t="shared" si="33"/>
        <v>800</v>
      </c>
      <c r="AU128" s="447">
        <f>200+200+200</f>
        <v>600</v>
      </c>
      <c r="AV128" s="145">
        <v>200</v>
      </c>
      <c r="AW128" s="145"/>
      <c r="AX128" s="145"/>
      <c r="AY128" s="145"/>
      <c r="AZ128" s="145"/>
      <c r="BA128" s="145"/>
      <c r="BB128" s="145"/>
      <c r="BC128" s="145">
        <f t="shared" si="34"/>
        <v>1044872</v>
      </c>
      <c r="BD128" s="540">
        <f>0.8%+0.18%+0.25%</f>
        <v>0.0123</v>
      </c>
      <c r="BE128" s="145">
        <v>1044872</v>
      </c>
      <c r="BF128" s="145"/>
      <c r="BG128" s="145"/>
      <c r="BH128" s="145"/>
      <c r="BI128" s="145"/>
      <c r="BJ128" s="145"/>
      <c r="BK128" s="145"/>
      <c r="BL128" s="145"/>
      <c r="BM128" s="145"/>
      <c r="BN128" s="145"/>
      <c r="BO128" s="145"/>
      <c r="BP128" s="145"/>
      <c r="BQ128" s="145"/>
      <c r="BR128" s="145"/>
      <c r="BS128" s="145"/>
      <c r="BT128" s="145"/>
      <c r="BU128" s="145"/>
      <c r="BV128" s="145"/>
      <c r="BW128" s="145"/>
      <c r="BX128" s="145"/>
      <c r="BY128" s="145"/>
      <c r="BZ128" s="145"/>
      <c r="CA128" s="145"/>
      <c r="CB128" s="145"/>
      <c r="CC128" s="145"/>
      <c r="CD128" s="145"/>
      <c r="CE128" s="145"/>
      <c r="CF128" s="145"/>
      <c r="CG128" s="145"/>
      <c r="CH128" s="385"/>
      <c r="CJ128" s="385" t="s">
        <v>260</v>
      </c>
      <c r="CK128" s="385" t="s">
        <v>271</v>
      </c>
      <c r="CM128" s="385" t="s">
        <v>261</v>
      </c>
    </row>
    <row r="129" s="385" customFormat="1" ht="35" customHeight="1" spans="1:91">
      <c r="A129" s="385">
        <v>122</v>
      </c>
      <c r="C129" s="471">
        <v>45138</v>
      </c>
      <c r="D129" s="385">
        <v>20230006480</v>
      </c>
      <c r="E129" s="1026" t="s">
        <v>1029</v>
      </c>
      <c r="F129" s="456" t="s">
        <v>1030</v>
      </c>
      <c r="G129" s="142" t="s">
        <v>1031</v>
      </c>
      <c r="H129" s="125"/>
      <c r="I129" s="385" t="s">
        <v>254</v>
      </c>
      <c r="J129" s="385">
        <v>9</v>
      </c>
      <c r="K129" s="385">
        <v>42.7</v>
      </c>
      <c r="L129" s="385">
        <v>42.7</v>
      </c>
      <c r="M129" s="385">
        <v>24633.96</v>
      </c>
      <c r="N129" s="469">
        <v>1051871</v>
      </c>
      <c r="O129" s="145">
        <v>24633.96</v>
      </c>
      <c r="Q129" s="385">
        <v>965019.27</v>
      </c>
      <c r="R129" s="1026" t="s">
        <v>1032</v>
      </c>
      <c r="S129" s="471">
        <v>45768</v>
      </c>
      <c r="T129" s="145"/>
      <c r="U129" s="440"/>
      <c r="V129" s="440" t="s">
        <v>1033</v>
      </c>
      <c r="W129" s="440" t="s">
        <v>1034</v>
      </c>
      <c r="X129" s="145">
        <f>5000-5000+10000+40000</f>
        <v>50000</v>
      </c>
      <c r="Y129" s="440" t="s">
        <v>1035</v>
      </c>
      <c r="Z129" s="145">
        <v>481624</v>
      </c>
      <c r="AA129" s="442" t="s">
        <v>858</v>
      </c>
      <c r="AB129" s="145">
        <v>520000</v>
      </c>
      <c r="AC129" s="440" t="s">
        <v>355</v>
      </c>
      <c r="AD129" s="145">
        <v>247</v>
      </c>
      <c r="AE129" s="440" t="s">
        <v>839</v>
      </c>
      <c r="AL129" s="145">
        <f t="shared" si="38"/>
        <v>1051871</v>
      </c>
      <c r="AO129" s="446">
        <f t="shared" si="35"/>
        <v>0</v>
      </c>
      <c r="AP129" s="385">
        <v>13779673130</v>
      </c>
      <c r="AT129" s="447">
        <f t="shared" si="33"/>
        <v>1500</v>
      </c>
      <c r="AU129" s="447">
        <f>200</f>
        <v>200</v>
      </c>
      <c r="AV129" s="145">
        <f>200+200+200+200</f>
        <v>800</v>
      </c>
      <c r="AW129" s="145"/>
      <c r="AX129" s="145">
        <v>200</v>
      </c>
      <c r="AY129" s="145"/>
      <c r="AZ129" s="145"/>
      <c r="BA129" s="145">
        <v>300</v>
      </c>
      <c r="BB129" s="145"/>
      <c r="BC129" s="145">
        <f t="shared" si="34"/>
        <v>1051624</v>
      </c>
      <c r="BD129" s="540">
        <f>0.8%+0.13%+0.25%</f>
        <v>0.0118</v>
      </c>
      <c r="BE129" s="145">
        <v>531624</v>
      </c>
      <c r="BF129" s="145"/>
      <c r="BG129" s="145"/>
      <c r="BH129" s="145"/>
      <c r="BI129" s="145"/>
      <c r="BJ129" s="145">
        <v>520000</v>
      </c>
      <c r="BK129" s="145"/>
      <c r="BL129" s="145"/>
      <c r="BM129" s="145"/>
      <c r="BN129" s="145"/>
      <c r="BO129" s="145"/>
      <c r="BP129" s="145"/>
      <c r="BQ129" s="145"/>
      <c r="BR129" s="145"/>
      <c r="BS129" s="145"/>
      <c r="BT129" s="145"/>
      <c r="BU129" s="145"/>
      <c r="BV129" s="145"/>
      <c r="BW129" s="145"/>
      <c r="BX129" s="145"/>
      <c r="BY129" s="145"/>
      <c r="BZ129" s="145"/>
      <c r="CA129" s="145"/>
      <c r="CB129" s="145"/>
      <c r="CC129" s="145"/>
      <c r="CD129" s="145"/>
      <c r="CE129" s="145"/>
      <c r="CF129" s="145"/>
      <c r="CG129" s="145"/>
      <c r="CH129" s="385"/>
      <c r="CJ129" s="385" t="s">
        <v>260</v>
      </c>
      <c r="CK129" s="385" t="s">
        <v>271</v>
      </c>
      <c r="CM129" s="385" t="s">
        <v>261</v>
      </c>
    </row>
    <row r="130" s="385" customFormat="1" ht="32" customHeight="1" spans="1:91">
      <c r="A130" s="385">
        <v>123</v>
      </c>
      <c r="C130" s="471">
        <v>45166</v>
      </c>
      <c r="D130" s="385">
        <v>20230007366</v>
      </c>
      <c r="E130" s="1026" t="s">
        <v>1036</v>
      </c>
      <c r="F130" s="456" t="s">
        <v>1037</v>
      </c>
      <c r="G130" s="142" t="s">
        <v>1038</v>
      </c>
      <c r="H130" s="125"/>
      <c r="I130" s="385" t="s">
        <v>254</v>
      </c>
      <c r="J130" s="385">
        <v>10</v>
      </c>
      <c r="K130" s="385">
        <v>42.7</v>
      </c>
      <c r="L130" s="385">
        <v>42.7</v>
      </c>
      <c r="M130" s="385">
        <v>25532.91</v>
      </c>
      <c r="N130" s="469">
        <v>1090255</v>
      </c>
      <c r="O130" s="145">
        <v>25386.13</v>
      </c>
      <c r="Q130" s="385">
        <v>1000233.94</v>
      </c>
      <c r="R130" s="1026" t="s">
        <v>1039</v>
      </c>
      <c r="S130" s="471">
        <v>45618</v>
      </c>
      <c r="T130" s="145"/>
      <c r="U130" s="146"/>
      <c r="V130" s="440" t="s">
        <v>1040</v>
      </c>
      <c r="W130" s="440" t="s">
        <v>1041</v>
      </c>
      <c r="X130" s="145">
        <f>5000-5000+5000+95000</f>
        <v>100000</v>
      </c>
      <c r="Y130" s="440" t="s">
        <v>1042</v>
      </c>
      <c r="Z130" s="145">
        <v>30000</v>
      </c>
      <c r="AA130" s="146" t="s">
        <v>512</v>
      </c>
      <c r="AB130" s="145">
        <v>960000</v>
      </c>
      <c r="AC130" s="146" t="s">
        <v>836</v>
      </c>
      <c r="AD130" s="145">
        <v>255</v>
      </c>
      <c r="AE130" s="146" t="s">
        <v>1043</v>
      </c>
      <c r="AL130" s="145">
        <f t="shared" si="38"/>
        <v>1090255</v>
      </c>
      <c r="AO130" s="446">
        <f t="shared" si="35"/>
        <v>0</v>
      </c>
      <c r="AP130" s="385">
        <v>13899061155</v>
      </c>
      <c r="AT130" s="447">
        <f t="shared" si="33"/>
        <v>1000</v>
      </c>
      <c r="AU130" s="447"/>
      <c r="AV130" s="145">
        <f>200</f>
        <v>200</v>
      </c>
      <c r="AW130" s="145">
        <v>200</v>
      </c>
      <c r="AX130" s="145">
        <v>200</v>
      </c>
      <c r="AY130" s="145">
        <f>200+200</f>
        <v>400</v>
      </c>
      <c r="AZ130" s="145"/>
      <c r="BA130" s="145"/>
      <c r="BB130" s="145"/>
      <c r="BC130" s="145">
        <f t="shared" si="34"/>
        <v>1090000</v>
      </c>
      <c r="BD130" s="540">
        <f>1%+0.18%+0.25%</f>
        <v>0.0143</v>
      </c>
      <c r="BE130" s="145"/>
      <c r="BF130" s="145">
        <v>1090000</v>
      </c>
      <c r="BG130" s="145"/>
      <c r="BH130" s="145"/>
      <c r="BI130" s="145"/>
      <c r="BJ130" s="145"/>
      <c r="BK130" s="145"/>
      <c r="BL130" s="145"/>
      <c r="BM130" s="145"/>
      <c r="BN130" s="145"/>
      <c r="BO130" s="145"/>
      <c r="BP130" s="145"/>
      <c r="BQ130" s="145"/>
      <c r="BR130" s="145"/>
      <c r="BS130" s="145"/>
      <c r="BT130" s="145"/>
      <c r="BU130" s="145"/>
      <c r="BV130" s="145"/>
      <c r="BW130" s="145"/>
      <c r="BX130" s="145"/>
      <c r="BY130" s="145"/>
      <c r="BZ130" s="145"/>
      <c r="CA130" s="145"/>
      <c r="CB130" s="145"/>
      <c r="CC130" s="145"/>
      <c r="CD130" s="145"/>
      <c r="CE130" s="145"/>
      <c r="CF130" s="145"/>
      <c r="CG130" s="145"/>
      <c r="CH130" s="385"/>
      <c r="CJ130" s="385" t="s">
        <v>260</v>
      </c>
      <c r="CK130" s="385" t="s">
        <v>271</v>
      </c>
      <c r="CM130" s="385" t="s">
        <v>261</v>
      </c>
    </row>
    <row r="131" s="385" customFormat="1" ht="35" customHeight="1" spans="1:91">
      <c r="A131" s="385">
        <v>124</v>
      </c>
      <c r="C131" s="471">
        <v>45527</v>
      </c>
      <c r="D131" s="385">
        <v>20240004827</v>
      </c>
      <c r="E131" s="1026" t="s">
        <v>1044</v>
      </c>
      <c r="F131" s="456" t="s">
        <v>1045</v>
      </c>
      <c r="G131" s="142" t="s">
        <v>1046</v>
      </c>
      <c r="H131" s="125"/>
      <c r="I131" s="385" t="s">
        <v>254</v>
      </c>
      <c r="J131" s="385">
        <v>11</v>
      </c>
      <c r="K131" s="385">
        <v>55.92</v>
      </c>
      <c r="L131" s="385">
        <v>55.92</v>
      </c>
      <c r="M131" s="385">
        <v>26917.71</v>
      </c>
      <c r="N131" s="469">
        <v>1505238</v>
      </c>
      <c r="O131" s="145">
        <v>26136.28</v>
      </c>
      <c r="P131" s="385"/>
      <c r="Q131" s="385">
        <v>1380952.29</v>
      </c>
      <c r="R131" s="1026" t="s">
        <v>1047</v>
      </c>
      <c r="S131" s="471">
        <v>45618</v>
      </c>
      <c r="T131" s="145"/>
      <c r="U131" s="440"/>
      <c r="V131" s="440"/>
      <c r="W131" s="440"/>
      <c r="X131" s="145">
        <f>853633+30000+30000+240000+200000</f>
        <v>1353633</v>
      </c>
      <c r="Y131" s="440" t="s">
        <v>1048</v>
      </c>
      <c r="Z131" s="145">
        <v>151336</v>
      </c>
      <c r="AA131" s="442" t="s">
        <v>1049</v>
      </c>
      <c r="AB131" s="145">
        <v>269</v>
      </c>
      <c r="AC131" s="440" t="s">
        <v>839</v>
      </c>
      <c r="AD131" s="385"/>
      <c r="AE131" s="385"/>
      <c r="AF131" s="145"/>
      <c r="AG131" s="440"/>
      <c r="AH131" s="385"/>
      <c r="AI131" s="385"/>
      <c r="AJ131" s="145"/>
      <c r="AK131" s="440"/>
      <c r="AL131" s="145">
        <f t="shared" si="38"/>
        <v>1505238</v>
      </c>
      <c r="AO131" s="446">
        <f t="shared" si="35"/>
        <v>0</v>
      </c>
      <c r="AP131" s="385">
        <v>13779245999</v>
      </c>
      <c r="AT131" s="447">
        <f t="shared" si="33"/>
        <v>1900</v>
      </c>
      <c r="AU131" s="447">
        <f>200+200</f>
        <v>400</v>
      </c>
      <c r="AV131" s="145">
        <v>200</v>
      </c>
      <c r="AW131" s="145">
        <v>200</v>
      </c>
      <c r="AX131" s="145">
        <v>200</v>
      </c>
      <c r="AY131" s="145">
        <f>200+200+200</f>
        <v>600</v>
      </c>
      <c r="AZ131" s="145"/>
      <c r="BA131" s="145">
        <v>300</v>
      </c>
      <c r="BB131" s="145"/>
      <c r="BC131" s="145">
        <f t="shared" si="34"/>
        <v>1504969</v>
      </c>
      <c r="BD131" s="540">
        <f>1%+0.14%</f>
        <v>0.0114</v>
      </c>
      <c r="BE131" s="145"/>
      <c r="BF131" s="145"/>
      <c r="BG131" s="145"/>
      <c r="BH131" s="145"/>
      <c r="BI131" s="145"/>
      <c r="BJ131" s="145"/>
      <c r="BK131" s="145"/>
      <c r="BL131" s="145"/>
      <c r="BM131" s="145"/>
      <c r="BN131" s="145"/>
      <c r="BO131" s="145"/>
      <c r="BP131" s="145"/>
      <c r="BQ131" s="145"/>
      <c r="BR131" s="145"/>
      <c r="BS131" s="145">
        <v>1504969</v>
      </c>
      <c r="BT131" s="145"/>
      <c r="BU131" s="145"/>
      <c r="BV131" s="145"/>
      <c r="BW131" s="145"/>
      <c r="BX131" s="145"/>
      <c r="BY131" s="145"/>
      <c r="BZ131" s="145"/>
      <c r="CA131" s="145"/>
      <c r="CB131" s="145"/>
      <c r="CC131" s="145"/>
      <c r="CD131" s="145"/>
      <c r="CE131" s="145"/>
      <c r="CF131" s="145"/>
      <c r="CG131" s="145"/>
      <c r="CH131" s="385"/>
      <c r="CJ131" s="385" t="s">
        <v>260</v>
      </c>
      <c r="CM131" s="385" t="s">
        <v>261</v>
      </c>
    </row>
    <row r="132" s="385" customFormat="1" ht="97" customHeight="1" spans="1:91">
      <c r="A132" s="385">
        <v>125</v>
      </c>
      <c r="C132" s="471">
        <v>45114</v>
      </c>
      <c r="D132" s="385">
        <v>20230005679</v>
      </c>
      <c r="E132" s="1026" t="s">
        <v>1050</v>
      </c>
      <c r="F132" s="501" t="s">
        <v>1051</v>
      </c>
      <c r="G132" s="142" t="s">
        <v>1052</v>
      </c>
      <c r="H132" s="125"/>
      <c r="I132" s="385" t="s">
        <v>254</v>
      </c>
      <c r="J132" s="385">
        <v>12</v>
      </c>
      <c r="K132" s="385">
        <v>42.19</v>
      </c>
      <c r="L132" s="385">
        <v>42.19</v>
      </c>
      <c r="M132" s="385">
        <v>33084.45</v>
      </c>
      <c r="N132" s="469">
        <v>1395833</v>
      </c>
      <c r="O132" s="145">
        <v>33000</v>
      </c>
      <c r="Q132" s="385">
        <v>1280580.73</v>
      </c>
      <c r="R132" s="1026" t="s">
        <v>1053</v>
      </c>
      <c r="S132" s="471">
        <v>45768</v>
      </c>
      <c r="T132" s="145"/>
      <c r="U132" s="440"/>
      <c r="V132" s="440" t="s">
        <v>1054</v>
      </c>
      <c r="W132" s="440" t="s">
        <v>1055</v>
      </c>
      <c r="X132" s="145">
        <f>5000+5000-5000</f>
        <v>5000</v>
      </c>
      <c r="Y132" s="440" t="s">
        <v>1056</v>
      </c>
      <c r="Z132" s="145">
        <v>95000</v>
      </c>
      <c r="AA132" s="442" t="s">
        <v>976</v>
      </c>
      <c r="AB132" s="145">
        <v>598833</v>
      </c>
      <c r="AC132" s="440" t="s">
        <v>1057</v>
      </c>
      <c r="AD132" s="145">
        <v>697000</v>
      </c>
      <c r="AE132" s="440" t="s">
        <v>446</v>
      </c>
      <c r="AL132" s="145">
        <f t="shared" si="38"/>
        <v>1395833</v>
      </c>
      <c r="AO132" s="446">
        <f t="shared" si="35"/>
        <v>0</v>
      </c>
      <c r="AP132" s="142">
        <v>18449693333</v>
      </c>
      <c r="AT132" s="447">
        <f t="shared" si="33"/>
        <v>3400</v>
      </c>
      <c r="AU132" s="447">
        <f>200+200+200+200+200</f>
        <v>1000</v>
      </c>
      <c r="AV132" s="145">
        <f>200+200</f>
        <v>400</v>
      </c>
      <c r="AW132" s="145">
        <f>200+200</f>
        <v>400</v>
      </c>
      <c r="AX132" s="145">
        <v>200</v>
      </c>
      <c r="AY132" s="145">
        <f>200+200+200+200</f>
        <v>800</v>
      </c>
      <c r="AZ132" s="145"/>
      <c r="BA132" s="145">
        <f>300+300</f>
        <v>600</v>
      </c>
      <c r="BB132" s="145"/>
      <c r="BC132" s="145">
        <f t="shared" si="34"/>
        <v>1395833</v>
      </c>
      <c r="BD132" s="540">
        <f t="shared" ref="BD132:BD139" si="39">1%+0.18%+0.25%</f>
        <v>0.0143</v>
      </c>
      <c r="BE132" s="145">
        <v>698833</v>
      </c>
      <c r="BF132" s="145">
        <v>697000</v>
      </c>
      <c r="BG132" s="145"/>
      <c r="BH132" s="145"/>
      <c r="BI132" s="145"/>
      <c r="BJ132" s="145"/>
      <c r="BK132" s="145"/>
      <c r="BL132" s="145"/>
      <c r="BM132" s="145"/>
      <c r="BN132" s="145"/>
      <c r="BO132" s="145"/>
      <c r="BP132" s="145"/>
      <c r="BQ132" s="145"/>
      <c r="BR132" s="145"/>
      <c r="BS132" s="145"/>
      <c r="BT132" s="145"/>
      <c r="BU132" s="145"/>
      <c r="BV132" s="145"/>
      <c r="BW132" s="145"/>
      <c r="BX132" s="145"/>
      <c r="BY132" s="145"/>
      <c r="BZ132" s="145"/>
      <c r="CA132" s="145"/>
      <c r="CB132" s="145"/>
      <c r="CC132" s="145"/>
      <c r="CD132" s="145"/>
      <c r="CE132" s="145"/>
      <c r="CF132" s="145"/>
      <c r="CG132" s="145"/>
      <c r="CH132" s="385"/>
      <c r="CJ132" s="385" t="s">
        <v>260</v>
      </c>
      <c r="CK132" s="385" t="s">
        <v>271</v>
      </c>
      <c r="CM132" s="385" t="s">
        <v>261</v>
      </c>
    </row>
    <row r="133" s="385" customFormat="1" ht="18" customHeight="1" spans="1:91">
      <c r="A133" s="385">
        <v>126</v>
      </c>
      <c r="C133" s="471">
        <v>45114</v>
      </c>
      <c r="D133" s="385">
        <v>20230005680</v>
      </c>
      <c r="E133" s="1026" t="s">
        <v>1050</v>
      </c>
      <c r="F133" s="501" t="s">
        <v>1051</v>
      </c>
      <c r="G133" s="142" t="s">
        <v>1058</v>
      </c>
      <c r="H133" s="125"/>
      <c r="I133" s="385" t="s">
        <v>254</v>
      </c>
      <c r="J133" s="385">
        <v>13</v>
      </c>
      <c r="K133" s="385">
        <v>42.19</v>
      </c>
      <c r="L133" s="385">
        <v>42.19</v>
      </c>
      <c r="M133" s="385">
        <v>26171.3</v>
      </c>
      <c r="N133" s="469">
        <v>1104167</v>
      </c>
      <c r="O133" s="145">
        <v>26000</v>
      </c>
      <c r="Q133" s="385">
        <v>1012997.25</v>
      </c>
      <c r="R133" s="1026" t="s">
        <v>1059</v>
      </c>
      <c r="S133" s="471">
        <v>45768</v>
      </c>
      <c r="T133" s="145"/>
      <c r="U133" s="440"/>
      <c r="V133" s="440"/>
      <c r="W133" s="440" t="s">
        <v>1060</v>
      </c>
      <c r="X133" s="145">
        <v>100000</v>
      </c>
      <c r="Y133" s="442" t="s">
        <v>976</v>
      </c>
      <c r="Z133" s="145">
        <f>61167+110000+76000+70000+100000+35000</f>
        <v>452167</v>
      </c>
      <c r="AA133" s="440" t="s">
        <v>1057</v>
      </c>
      <c r="AB133" s="145">
        <v>552000</v>
      </c>
      <c r="AC133" s="440" t="s">
        <v>446</v>
      </c>
      <c r="AL133" s="145">
        <f t="shared" si="38"/>
        <v>1104167</v>
      </c>
      <c r="AO133" s="446">
        <f t="shared" si="35"/>
        <v>0</v>
      </c>
      <c r="AT133" s="447">
        <f t="shared" si="33"/>
        <v>1100</v>
      </c>
      <c r="AU133" s="447">
        <f>200+200</f>
        <v>400</v>
      </c>
      <c r="AV133" s="145"/>
      <c r="AW133" s="145">
        <v>200</v>
      </c>
      <c r="AX133" s="145"/>
      <c r="AY133" s="145">
        <v>200</v>
      </c>
      <c r="AZ133" s="145"/>
      <c r="BA133" s="145">
        <v>300</v>
      </c>
      <c r="BB133" s="145"/>
      <c r="BC133" s="145">
        <f t="shared" si="34"/>
        <v>1104167</v>
      </c>
      <c r="BD133" s="540">
        <f t="shared" si="39"/>
        <v>0.0143</v>
      </c>
      <c r="BE133" s="145">
        <v>552167</v>
      </c>
      <c r="BF133" s="145">
        <v>552000</v>
      </c>
      <c r="BG133" s="145"/>
      <c r="BH133" s="145"/>
      <c r="BI133" s="145"/>
      <c r="BJ133" s="145"/>
      <c r="BK133" s="145"/>
      <c r="BL133" s="145"/>
      <c r="BM133" s="145"/>
      <c r="BN133" s="145"/>
      <c r="BO133" s="145"/>
      <c r="BP133" s="145"/>
      <c r="BQ133" s="145"/>
      <c r="BR133" s="145"/>
      <c r="BS133" s="145"/>
      <c r="BT133" s="145"/>
      <c r="BU133" s="145"/>
      <c r="BV133" s="145"/>
      <c r="BW133" s="145"/>
      <c r="BX133" s="145"/>
      <c r="BY133" s="145"/>
      <c r="BZ133" s="145"/>
      <c r="CA133" s="145"/>
      <c r="CB133" s="145"/>
      <c r="CC133" s="145"/>
      <c r="CD133" s="145"/>
      <c r="CE133" s="145"/>
      <c r="CF133" s="145"/>
      <c r="CG133" s="145"/>
      <c r="CH133" s="385"/>
      <c r="CJ133" s="385" t="s">
        <v>260</v>
      </c>
      <c r="CK133" s="385" t="s">
        <v>271</v>
      </c>
      <c r="CM133" s="385" t="s">
        <v>261</v>
      </c>
    </row>
    <row r="134" s="385" customFormat="1" ht="36" customHeight="1" spans="1:91">
      <c r="A134" s="385">
        <v>127</v>
      </c>
      <c r="C134" s="471">
        <v>45527</v>
      </c>
      <c r="D134" s="385">
        <v>20240004828</v>
      </c>
      <c r="E134" s="1026" t="s">
        <v>1061</v>
      </c>
      <c r="F134" s="456" t="s">
        <v>1062</v>
      </c>
      <c r="G134" s="142" t="s">
        <v>1046</v>
      </c>
      <c r="H134" s="125"/>
      <c r="I134" s="385" t="s">
        <v>254</v>
      </c>
      <c r="J134" s="385">
        <v>14</v>
      </c>
      <c r="K134" s="385">
        <v>55.92</v>
      </c>
      <c r="L134" s="385">
        <v>55.92</v>
      </c>
      <c r="M134" s="385">
        <v>20781.43</v>
      </c>
      <c r="N134" s="469">
        <v>1162098</v>
      </c>
      <c r="O134" s="145">
        <v>20000</v>
      </c>
      <c r="P134" s="385"/>
      <c r="Q134" s="385">
        <v>1066144.95</v>
      </c>
      <c r="R134" s="1026" t="s">
        <v>1063</v>
      </c>
      <c r="S134" s="471">
        <v>45618</v>
      </c>
      <c r="T134" s="145"/>
      <c r="U134" s="440"/>
      <c r="V134" s="440"/>
      <c r="W134" s="440"/>
      <c r="X134" s="145">
        <v>315000</v>
      </c>
      <c r="Y134" s="440" t="s">
        <v>1064</v>
      </c>
      <c r="Z134" s="145">
        <v>168000</v>
      </c>
      <c r="AA134" s="440">
        <v>45536</v>
      </c>
      <c r="AB134" s="385">
        <v>678890</v>
      </c>
      <c r="AC134" s="146">
        <v>45541</v>
      </c>
      <c r="AD134" s="145">
        <v>208</v>
      </c>
      <c r="AE134" s="440" t="s">
        <v>839</v>
      </c>
      <c r="AF134" s="385"/>
      <c r="AG134" s="146"/>
      <c r="AL134" s="145">
        <f t="shared" si="38"/>
        <v>1162098</v>
      </c>
      <c r="AO134" s="446">
        <f t="shared" si="35"/>
        <v>0</v>
      </c>
      <c r="AP134" s="385">
        <v>13779245999</v>
      </c>
      <c r="AT134" s="447">
        <f t="shared" si="33"/>
        <v>800</v>
      </c>
      <c r="AU134" s="447">
        <f>200</f>
        <v>200</v>
      </c>
      <c r="AV134" s="145"/>
      <c r="AW134" s="145">
        <f>200+200</f>
        <v>400</v>
      </c>
      <c r="AX134" s="145">
        <v>200</v>
      </c>
      <c r="AY134" s="145"/>
      <c r="AZ134" s="145"/>
      <c r="BA134" s="145"/>
      <c r="BB134" s="145"/>
      <c r="BC134" s="145">
        <f t="shared" si="34"/>
        <v>1161890</v>
      </c>
      <c r="BD134" s="540">
        <f>1%+0.14%</f>
        <v>0.0114</v>
      </c>
      <c r="BE134" s="145"/>
      <c r="BF134" s="145"/>
      <c r="BG134" s="145"/>
      <c r="BH134" s="145"/>
      <c r="BI134" s="145"/>
      <c r="BJ134" s="145"/>
      <c r="BK134" s="145"/>
      <c r="BL134" s="145"/>
      <c r="BM134" s="145"/>
      <c r="BN134" s="145"/>
      <c r="BO134" s="145"/>
      <c r="BP134" s="145"/>
      <c r="BQ134" s="145"/>
      <c r="BR134" s="145"/>
      <c r="BS134" s="145">
        <v>1161890</v>
      </c>
      <c r="BT134" s="145"/>
      <c r="BU134" s="145"/>
      <c r="BV134" s="145"/>
      <c r="BW134" s="145"/>
      <c r="BX134" s="145"/>
      <c r="BY134" s="145"/>
      <c r="BZ134" s="145"/>
      <c r="CA134" s="145"/>
      <c r="CB134" s="145"/>
      <c r="CC134" s="145"/>
      <c r="CD134" s="145"/>
      <c r="CE134" s="145"/>
      <c r="CF134" s="145"/>
      <c r="CG134" s="145"/>
      <c r="CH134" s="385"/>
      <c r="CJ134" s="385" t="s">
        <v>260</v>
      </c>
      <c r="CM134" s="385" t="s">
        <v>261</v>
      </c>
    </row>
    <row r="135" s="385" customFormat="1" ht="72" customHeight="1" spans="1:91">
      <c r="A135" s="385">
        <v>128</v>
      </c>
      <c r="C135" s="471">
        <v>45114</v>
      </c>
      <c r="D135" s="385">
        <v>20230005699</v>
      </c>
      <c r="E135" s="1026" t="s">
        <v>1065</v>
      </c>
      <c r="F135" s="456" t="s">
        <v>1066</v>
      </c>
      <c r="G135" s="142" t="s">
        <v>1067</v>
      </c>
      <c r="H135" s="125"/>
      <c r="I135" s="385" t="s">
        <v>254</v>
      </c>
      <c r="J135" s="385">
        <v>15</v>
      </c>
      <c r="K135" s="385">
        <v>42.7</v>
      </c>
      <c r="L135" s="385">
        <v>42.7</v>
      </c>
      <c r="M135" s="385">
        <v>17880.15</v>
      </c>
      <c r="N135" s="469">
        <v>763483</v>
      </c>
      <c r="O135" s="145">
        <v>17680.15</v>
      </c>
      <c r="Q135" s="385">
        <v>700443.12</v>
      </c>
      <c r="R135" s="1026" t="s">
        <v>1068</v>
      </c>
      <c r="S135" s="471">
        <v>45768</v>
      </c>
      <c r="T135" s="145"/>
      <c r="U135" s="440"/>
      <c r="V135" s="440" t="s">
        <v>1069</v>
      </c>
      <c r="W135" s="440" t="s">
        <v>1070</v>
      </c>
      <c r="X135" s="145">
        <f>5000-5000+5000</f>
        <v>5000</v>
      </c>
      <c r="Y135" s="440" t="s">
        <v>1071</v>
      </c>
      <c r="Z135" s="145">
        <v>95000</v>
      </c>
      <c r="AA135" s="442" t="s">
        <v>342</v>
      </c>
      <c r="AB135" s="145">
        <f>563304+100000</f>
        <v>663304</v>
      </c>
      <c r="AC135" s="442" t="s">
        <v>1057</v>
      </c>
      <c r="AD135" s="145">
        <v>179</v>
      </c>
      <c r="AE135" s="440" t="s">
        <v>1028</v>
      </c>
      <c r="AL135" s="145">
        <f t="shared" si="38"/>
        <v>763483</v>
      </c>
      <c r="AO135" s="446">
        <f t="shared" si="35"/>
        <v>0</v>
      </c>
      <c r="AP135" s="385">
        <v>13999605768</v>
      </c>
      <c r="AT135" s="447">
        <f t="shared" si="33"/>
        <v>600</v>
      </c>
      <c r="AU135" s="447"/>
      <c r="AV135" s="145"/>
      <c r="AW135" s="145">
        <f>200+200+200</f>
        <v>600</v>
      </c>
      <c r="AX135" s="145"/>
      <c r="AY135" s="145"/>
      <c r="AZ135" s="145"/>
      <c r="BA135" s="145"/>
      <c r="BB135" s="145"/>
      <c r="BC135" s="145">
        <f t="shared" si="34"/>
        <v>763304</v>
      </c>
      <c r="BD135" s="540">
        <f>0.8%+0.18%+0.25%</f>
        <v>0.0123</v>
      </c>
      <c r="BE135" s="145">
        <v>763304</v>
      </c>
      <c r="BF135" s="145"/>
      <c r="BG135" s="145"/>
      <c r="BH135" s="145"/>
      <c r="BI135" s="145"/>
      <c r="BJ135" s="145"/>
      <c r="BK135" s="145"/>
      <c r="BL135" s="145"/>
      <c r="BM135" s="145"/>
      <c r="BN135" s="145"/>
      <c r="BO135" s="145"/>
      <c r="BP135" s="145"/>
      <c r="BQ135" s="145"/>
      <c r="BR135" s="145"/>
      <c r="BS135" s="145"/>
      <c r="BT135" s="145"/>
      <c r="BU135" s="145"/>
      <c r="BV135" s="145"/>
      <c r="BW135" s="145"/>
      <c r="BX135" s="145"/>
      <c r="BY135" s="145"/>
      <c r="BZ135" s="145"/>
      <c r="CA135" s="145"/>
      <c r="CB135" s="145"/>
      <c r="CC135" s="145"/>
      <c r="CD135" s="145"/>
      <c r="CE135" s="145"/>
      <c r="CF135" s="145"/>
      <c r="CG135" s="145"/>
      <c r="CH135" s="385"/>
      <c r="CJ135" s="385" t="s">
        <v>260</v>
      </c>
      <c r="CK135" s="385" t="s">
        <v>271</v>
      </c>
      <c r="CM135" s="385" t="s">
        <v>261</v>
      </c>
    </row>
    <row r="136" s="385" customFormat="1" ht="28" customHeight="1" spans="1:91">
      <c r="A136" s="385">
        <v>129</v>
      </c>
      <c r="C136" s="471">
        <v>45204</v>
      </c>
      <c r="D136" s="385">
        <v>20230008663</v>
      </c>
      <c r="E136" s="1026" t="s">
        <v>1072</v>
      </c>
      <c r="F136" s="456" t="s">
        <v>1073</v>
      </c>
      <c r="G136" s="142" t="s">
        <v>1074</v>
      </c>
      <c r="H136" s="125"/>
      <c r="I136" s="385" t="s">
        <v>254</v>
      </c>
      <c r="J136" s="385">
        <v>16</v>
      </c>
      <c r="K136" s="385">
        <v>42.7</v>
      </c>
      <c r="L136" s="385">
        <v>42.7</v>
      </c>
      <c r="M136" s="385">
        <v>17214.88</v>
      </c>
      <c r="N136" s="469">
        <v>735076</v>
      </c>
      <c r="O136" s="145">
        <v>17214.88</v>
      </c>
      <c r="Q136" s="385">
        <v>674381.65</v>
      </c>
      <c r="R136" s="1026" t="s">
        <v>1075</v>
      </c>
      <c r="S136" s="471">
        <v>45768</v>
      </c>
      <c r="T136" s="145"/>
      <c r="U136" s="146"/>
      <c r="V136" s="440" t="s">
        <v>1076</v>
      </c>
      <c r="W136" s="440" t="s">
        <v>1077</v>
      </c>
      <c r="X136" s="145">
        <f>10000</f>
        <v>10000</v>
      </c>
      <c r="Y136" s="440" t="s">
        <v>846</v>
      </c>
      <c r="Z136" s="145">
        <v>90000</v>
      </c>
      <c r="AA136" s="442" t="s">
        <v>332</v>
      </c>
      <c r="AB136" s="145">
        <v>267903</v>
      </c>
      <c r="AC136" s="146" t="s">
        <v>471</v>
      </c>
      <c r="AD136" s="145">
        <v>67000</v>
      </c>
      <c r="AE136" s="146" t="s">
        <v>897</v>
      </c>
      <c r="AF136" s="145">
        <v>300000</v>
      </c>
      <c r="AG136" s="146" t="s">
        <v>1078</v>
      </c>
      <c r="AL136" s="145">
        <f t="shared" si="38"/>
        <v>734903</v>
      </c>
      <c r="AO136" s="446">
        <f t="shared" si="35"/>
        <v>173</v>
      </c>
      <c r="AP136" s="385">
        <v>13565086261</v>
      </c>
      <c r="AT136" s="447">
        <f t="shared" si="33"/>
        <v>200</v>
      </c>
      <c r="AU136" s="447">
        <f>200</f>
        <v>200</v>
      </c>
      <c r="AV136" s="145"/>
      <c r="AW136" s="145"/>
      <c r="AX136" s="145"/>
      <c r="AY136" s="145"/>
      <c r="AZ136" s="145"/>
      <c r="BA136" s="145"/>
      <c r="BB136" s="145"/>
      <c r="BC136" s="145">
        <f t="shared" si="34"/>
        <v>734903</v>
      </c>
      <c r="BD136" s="540">
        <f>1%+0.25%</f>
        <v>0.0125</v>
      </c>
      <c r="BE136" s="145"/>
      <c r="BF136" s="145"/>
      <c r="BG136" s="145"/>
      <c r="BH136" s="145"/>
      <c r="BI136" s="145"/>
      <c r="BJ136" s="145"/>
      <c r="BK136" s="145"/>
      <c r="BL136" s="145"/>
      <c r="BM136" s="145">
        <v>734903</v>
      </c>
      <c r="BN136" s="145"/>
      <c r="BO136" s="145"/>
      <c r="BP136" s="145"/>
      <c r="BQ136" s="145"/>
      <c r="BR136" s="145"/>
      <c r="BS136" s="145"/>
      <c r="BT136" s="145"/>
      <c r="BU136" s="145"/>
      <c r="BV136" s="145"/>
      <c r="BW136" s="145"/>
      <c r="BX136" s="145"/>
      <c r="BY136" s="145"/>
      <c r="BZ136" s="145"/>
      <c r="CA136" s="145"/>
      <c r="CB136" s="145"/>
      <c r="CC136" s="145"/>
      <c r="CD136" s="145"/>
      <c r="CE136" s="145"/>
      <c r="CF136" s="145"/>
      <c r="CG136" s="145"/>
      <c r="CH136" s="385"/>
      <c r="CJ136" s="385" t="s">
        <v>260</v>
      </c>
      <c r="CK136" s="385" t="s">
        <v>271</v>
      </c>
      <c r="CM136" s="385" t="s">
        <v>261</v>
      </c>
    </row>
    <row r="137" s="385" customFormat="1" ht="28" customHeight="1" spans="1:91">
      <c r="A137" s="385">
        <v>130</v>
      </c>
      <c r="C137" s="471">
        <v>45109</v>
      </c>
      <c r="D137" s="385">
        <v>20230005464</v>
      </c>
      <c r="E137" s="1026" t="s">
        <v>1079</v>
      </c>
      <c r="F137" s="456" t="s">
        <v>1080</v>
      </c>
      <c r="G137" s="142" t="s">
        <v>1081</v>
      </c>
      <c r="H137" s="125"/>
      <c r="I137" s="385" t="s">
        <v>254</v>
      </c>
      <c r="J137" s="385">
        <v>17</v>
      </c>
      <c r="K137" s="385">
        <v>42.7</v>
      </c>
      <c r="L137" s="385">
        <v>42.7</v>
      </c>
      <c r="M137" s="385">
        <v>17621.83</v>
      </c>
      <c r="N137" s="469">
        <v>752453</v>
      </c>
      <c r="O137" s="145">
        <v>17121.83</v>
      </c>
      <c r="P137" s="385"/>
      <c r="Q137" s="385">
        <v>690323.85</v>
      </c>
      <c r="R137" s="1026" t="s">
        <v>1082</v>
      </c>
      <c r="S137" s="471">
        <v>45712</v>
      </c>
      <c r="T137" s="145"/>
      <c r="U137" s="146"/>
      <c r="V137" s="468" t="s">
        <v>1083</v>
      </c>
      <c r="W137" s="440" t="s">
        <v>1084</v>
      </c>
      <c r="X137" s="145">
        <f>5000</f>
        <v>5000</v>
      </c>
      <c r="Y137" s="146" t="s">
        <v>808</v>
      </c>
      <c r="Z137" s="145">
        <v>95000</v>
      </c>
      <c r="AA137" s="442" t="s">
        <v>342</v>
      </c>
      <c r="AB137" s="145">
        <v>652276</v>
      </c>
      <c r="AC137" s="442" t="s">
        <v>876</v>
      </c>
      <c r="AD137" s="145">
        <v>177</v>
      </c>
      <c r="AE137" s="146" t="s">
        <v>373</v>
      </c>
      <c r="AL137" s="145">
        <f t="shared" si="38"/>
        <v>752453</v>
      </c>
      <c r="AO137" s="446">
        <f t="shared" si="35"/>
        <v>0</v>
      </c>
      <c r="AP137" s="385">
        <v>13779237535</v>
      </c>
      <c r="AT137" s="447">
        <f t="shared" si="33"/>
        <v>200</v>
      </c>
      <c r="AU137" s="447"/>
      <c r="AV137" s="145"/>
      <c r="AW137" s="145">
        <v>200</v>
      </c>
      <c r="AX137" s="145"/>
      <c r="AY137" s="145"/>
      <c r="AZ137" s="145"/>
      <c r="BA137" s="145"/>
      <c r="BB137" s="145"/>
      <c r="BC137" s="145">
        <f t="shared" si="34"/>
        <v>752276</v>
      </c>
      <c r="BD137" s="540">
        <f t="shared" si="39"/>
        <v>0.0143</v>
      </c>
      <c r="BE137" s="145">
        <v>752276</v>
      </c>
      <c r="BF137" s="145"/>
      <c r="BG137" s="145"/>
      <c r="BH137" s="145"/>
      <c r="BI137" s="145"/>
      <c r="BJ137" s="145"/>
      <c r="BK137" s="145"/>
      <c r="BL137" s="145"/>
      <c r="BM137" s="145"/>
      <c r="BN137" s="145"/>
      <c r="BO137" s="145"/>
      <c r="BP137" s="145"/>
      <c r="BQ137" s="145"/>
      <c r="BR137" s="145"/>
      <c r="BS137" s="145"/>
      <c r="BT137" s="145"/>
      <c r="BU137" s="145"/>
      <c r="BV137" s="145"/>
      <c r="BW137" s="145"/>
      <c r="BX137" s="145"/>
      <c r="BY137" s="145"/>
      <c r="BZ137" s="145"/>
      <c r="CA137" s="145"/>
      <c r="CB137" s="145"/>
      <c r="CC137" s="145"/>
      <c r="CD137" s="145"/>
      <c r="CE137" s="145"/>
      <c r="CF137" s="145"/>
      <c r="CG137" s="145"/>
      <c r="CH137" s="385"/>
      <c r="CJ137" s="385" t="s">
        <v>260</v>
      </c>
      <c r="CK137" s="385" t="s">
        <v>271</v>
      </c>
      <c r="CM137" s="385" t="s">
        <v>261</v>
      </c>
    </row>
    <row r="138" s="385" customFormat="1" ht="53" customHeight="1" spans="1:91">
      <c r="A138" s="385">
        <v>131</v>
      </c>
      <c r="C138" s="471">
        <v>45107</v>
      </c>
      <c r="D138" s="385">
        <v>20230005448</v>
      </c>
      <c r="E138" s="1026" t="s">
        <v>1085</v>
      </c>
      <c r="F138" s="456" t="s">
        <v>1086</v>
      </c>
      <c r="G138" s="142" t="s">
        <v>1087</v>
      </c>
      <c r="H138" s="125"/>
      <c r="I138" s="385" t="s">
        <v>254</v>
      </c>
      <c r="J138" s="385">
        <v>18</v>
      </c>
      <c r="K138" s="385">
        <v>42.8</v>
      </c>
      <c r="L138" s="385">
        <v>42.8</v>
      </c>
      <c r="M138" s="385">
        <v>17400</v>
      </c>
      <c r="N138" s="469">
        <v>744720</v>
      </c>
      <c r="O138" s="145">
        <v>17026.06</v>
      </c>
      <c r="Q138" s="385">
        <v>683229.36</v>
      </c>
      <c r="R138" s="1026" t="s">
        <v>1088</v>
      </c>
      <c r="S138" s="471">
        <v>45618</v>
      </c>
      <c r="T138" s="145"/>
      <c r="U138" s="146"/>
      <c r="V138" s="440"/>
      <c r="W138" s="440" t="s">
        <v>1089</v>
      </c>
      <c r="X138" s="145">
        <v>100000</v>
      </c>
      <c r="Y138" s="442" t="s">
        <v>332</v>
      </c>
      <c r="Z138" s="145">
        <v>644546</v>
      </c>
      <c r="AA138" s="442" t="s">
        <v>1090</v>
      </c>
      <c r="AB138" s="145">
        <v>174</v>
      </c>
      <c r="AC138" s="146" t="s">
        <v>1091</v>
      </c>
      <c r="AL138" s="145">
        <f t="shared" si="38"/>
        <v>744720</v>
      </c>
      <c r="AO138" s="446">
        <f t="shared" si="35"/>
        <v>0</v>
      </c>
      <c r="AP138" s="385">
        <v>15899013998</v>
      </c>
      <c r="AT138" s="447">
        <f t="shared" si="33"/>
        <v>800</v>
      </c>
      <c r="AU138" s="447"/>
      <c r="AV138" s="145">
        <v>200</v>
      </c>
      <c r="AW138" s="145">
        <f>200+200</f>
        <v>400</v>
      </c>
      <c r="AX138" s="145"/>
      <c r="AY138" s="145"/>
      <c r="AZ138" s="145">
        <v>200</v>
      </c>
      <c r="BA138" s="145"/>
      <c r="BB138" s="145"/>
      <c r="BC138" s="145">
        <f t="shared" si="34"/>
        <v>0</v>
      </c>
      <c r="BD138" s="540">
        <f t="shared" si="39"/>
        <v>0.0143</v>
      </c>
      <c r="BE138" s="145"/>
      <c r="BF138" s="145"/>
      <c r="BG138" s="145"/>
      <c r="BH138" s="145"/>
      <c r="BI138" s="145"/>
      <c r="BJ138" s="145"/>
      <c r="BK138" s="145"/>
      <c r="BL138" s="145"/>
      <c r="BM138" s="145"/>
      <c r="BN138" s="145"/>
      <c r="BO138" s="145"/>
      <c r="BP138" s="145"/>
      <c r="BQ138" s="145"/>
      <c r="BR138" s="145"/>
      <c r="BS138" s="145"/>
      <c r="BT138" s="145"/>
      <c r="BU138" s="145"/>
      <c r="BV138" s="145"/>
      <c r="BW138" s="145"/>
      <c r="BX138" s="145"/>
      <c r="BY138" s="145"/>
      <c r="BZ138" s="145"/>
      <c r="CA138" s="145"/>
      <c r="CB138" s="145"/>
      <c r="CC138" s="145"/>
      <c r="CD138" s="145"/>
      <c r="CE138" s="145"/>
      <c r="CF138" s="145"/>
      <c r="CG138" s="145"/>
      <c r="CH138" s="385"/>
      <c r="CJ138" s="385" t="s">
        <v>260</v>
      </c>
      <c r="CK138" s="385" t="s">
        <v>271</v>
      </c>
      <c r="CM138" s="385" t="s">
        <v>261</v>
      </c>
    </row>
    <row r="139" s="385" customFormat="1" ht="36" customHeight="1" spans="1:91">
      <c r="A139" s="385">
        <v>132</v>
      </c>
      <c r="C139" s="471">
        <v>45110</v>
      </c>
      <c r="D139" s="385">
        <v>20230005507</v>
      </c>
      <c r="E139" s="1026" t="s">
        <v>1092</v>
      </c>
      <c r="F139" s="456" t="s">
        <v>1002</v>
      </c>
      <c r="G139" s="142" t="s">
        <v>1093</v>
      </c>
      <c r="H139" s="125"/>
      <c r="I139" s="385" t="s">
        <v>254</v>
      </c>
      <c r="J139" s="385">
        <v>19</v>
      </c>
      <c r="K139" s="385">
        <v>42.7</v>
      </c>
      <c r="L139" s="385">
        <v>42.7</v>
      </c>
      <c r="M139" s="385">
        <v>16956.55</v>
      </c>
      <c r="N139" s="469">
        <v>724045</v>
      </c>
      <c r="O139" s="145">
        <v>16656.57</v>
      </c>
      <c r="Q139" s="385">
        <v>664261.47</v>
      </c>
      <c r="R139" s="1026" t="s">
        <v>1094</v>
      </c>
      <c r="S139" s="471">
        <v>45768</v>
      </c>
      <c r="T139" s="145"/>
      <c r="U139" s="146"/>
      <c r="V139" s="440"/>
      <c r="W139" s="440" t="s">
        <v>1095</v>
      </c>
      <c r="X139" s="145">
        <f>10000-10000+100000</f>
        <v>100000</v>
      </c>
      <c r="Y139" s="440" t="s">
        <v>1096</v>
      </c>
      <c r="Z139" s="145">
        <v>123875</v>
      </c>
      <c r="AA139" s="442" t="s">
        <v>1097</v>
      </c>
      <c r="AB139" s="145">
        <v>200000</v>
      </c>
      <c r="AC139" s="146" t="s">
        <v>1009</v>
      </c>
      <c r="AD139" s="385">
        <v>300000</v>
      </c>
      <c r="AE139" s="385" t="s">
        <v>959</v>
      </c>
      <c r="AF139" s="145">
        <v>170</v>
      </c>
      <c r="AG139" s="146" t="s">
        <v>1011</v>
      </c>
      <c r="AL139" s="145">
        <f t="shared" si="38"/>
        <v>724045</v>
      </c>
      <c r="AO139" s="446">
        <f t="shared" si="35"/>
        <v>0</v>
      </c>
      <c r="AP139" s="385">
        <v>13899005378</v>
      </c>
      <c r="AT139" s="447">
        <f t="shared" si="33"/>
        <v>1100</v>
      </c>
      <c r="AU139" s="447"/>
      <c r="AV139" s="145">
        <v>200</v>
      </c>
      <c r="AW139" s="145">
        <v>200</v>
      </c>
      <c r="AX139" s="145">
        <v>200</v>
      </c>
      <c r="AY139" s="145">
        <v>200</v>
      </c>
      <c r="AZ139" s="145"/>
      <c r="BA139" s="145">
        <v>300</v>
      </c>
      <c r="BB139" s="145"/>
      <c r="BC139" s="145">
        <f t="shared" si="34"/>
        <v>723875</v>
      </c>
      <c r="BD139" s="540">
        <f t="shared" si="39"/>
        <v>0.0143</v>
      </c>
      <c r="BE139" s="145"/>
      <c r="BF139" s="145"/>
      <c r="BG139" s="145"/>
      <c r="BH139" s="145">
        <v>723875</v>
      </c>
      <c r="BI139" s="145"/>
      <c r="BJ139" s="145"/>
      <c r="BK139" s="145"/>
      <c r="BL139" s="145"/>
      <c r="BM139" s="145"/>
      <c r="BN139" s="145"/>
      <c r="BO139" s="145"/>
      <c r="BP139" s="145"/>
      <c r="BQ139" s="145"/>
      <c r="BR139" s="145"/>
      <c r="BS139" s="145"/>
      <c r="BT139" s="145"/>
      <c r="BU139" s="145"/>
      <c r="BV139" s="145"/>
      <c r="BW139" s="145"/>
      <c r="BX139" s="145"/>
      <c r="BY139" s="145"/>
      <c r="BZ139" s="145"/>
      <c r="CA139" s="145"/>
      <c r="CB139" s="145"/>
      <c r="CC139" s="145"/>
      <c r="CD139" s="145"/>
      <c r="CE139" s="145"/>
      <c r="CF139" s="145"/>
      <c r="CG139" s="145"/>
      <c r="CH139" s="385"/>
      <c r="CJ139" s="385" t="s">
        <v>260</v>
      </c>
      <c r="CK139" s="385" t="s">
        <v>271</v>
      </c>
      <c r="CM139" s="385" t="s">
        <v>261</v>
      </c>
    </row>
    <row r="140" s="385" customFormat="1" ht="23" customHeight="1" spans="1:91">
      <c r="A140" s="385">
        <v>133</v>
      </c>
      <c r="C140" s="471">
        <v>45130</v>
      </c>
      <c r="D140" s="385">
        <v>20230006200</v>
      </c>
      <c r="E140" s="1026" t="s">
        <v>1098</v>
      </c>
      <c r="F140" s="456" t="s">
        <v>996</v>
      </c>
      <c r="G140" s="142" t="s">
        <v>997</v>
      </c>
      <c r="H140" s="125"/>
      <c r="I140" s="385" t="s">
        <v>254</v>
      </c>
      <c r="J140" s="385">
        <v>20</v>
      </c>
      <c r="K140" s="385">
        <v>42.7</v>
      </c>
      <c r="L140" s="385">
        <v>42.7</v>
      </c>
      <c r="M140" s="385">
        <v>16942.67</v>
      </c>
      <c r="N140" s="469">
        <v>723452</v>
      </c>
      <c r="O140" s="145">
        <v>16842.67</v>
      </c>
      <c r="Q140" s="385">
        <v>663717.43</v>
      </c>
      <c r="R140" s="1026" t="s">
        <v>1099</v>
      </c>
      <c r="S140" s="471">
        <v>45618</v>
      </c>
      <c r="T140" s="145"/>
      <c r="U140" s="440"/>
      <c r="V140" s="440"/>
      <c r="W140" s="440" t="s">
        <v>1100</v>
      </c>
      <c r="X140" s="145">
        <f>100000</f>
        <v>100000</v>
      </c>
      <c r="Y140" s="440" t="s">
        <v>342</v>
      </c>
      <c r="Z140" s="145">
        <v>623283</v>
      </c>
      <c r="AA140" s="440" t="s">
        <v>994</v>
      </c>
      <c r="AB140" s="145">
        <v>169</v>
      </c>
      <c r="AC140" s="440" t="s">
        <v>839</v>
      </c>
      <c r="AL140" s="145">
        <f t="shared" si="38"/>
        <v>723452</v>
      </c>
      <c r="AO140" s="446">
        <f t="shared" si="35"/>
        <v>0</v>
      </c>
      <c r="AP140" s="385">
        <v>15209968666</v>
      </c>
      <c r="AT140" s="447">
        <f t="shared" si="33"/>
        <v>1200</v>
      </c>
      <c r="AU140" s="447">
        <f>200</f>
        <v>200</v>
      </c>
      <c r="AV140" s="145">
        <v>200</v>
      </c>
      <c r="AW140" s="145">
        <v>200</v>
      </c>
      <c r="AX140" s="145"/>
      <c r="AY140" s="145"/>
      <c r="AZ140" s="145"/>
      <c r="BA140" s="145">
        <f>300+300</f>
        <v>600</v>
      </c>
      <c r="BB140" s="145"/>
      <c r="BC140" s="145">
        <f t="shared" si="34"/>
        <v>723283</v>
      </c>
      <c r="BD140" s="540">
        <f>1%+0.25%</f>
        <v>0.0125</v>
      </c>
      <c r="BE140" s="145">
        <v>723283</v>
      </c>
      <c r="BF140" s="145"/>
      <c r="BG140" s="145"/>
      <c r="BH140" s="145"/>
      <c r="BI140" s="145"/>
      <c r="BJ140" s="145"/>
      <c r="BK140" s="145"/>
      <c r="BL140" s="145"/>
      <c r="BM140" s="145"/>
      <c r="BN140" s="145"/>
      <c r="BO140" s="145"/>
      <c r="BP140" s="145"/>
      <c r="BQ140" s="145"/>
      <c r="BR140" s="145"/>
      <c r="BS140" s="145"/>
      <c r="BT140" s="145"/>
      <c r="BU140" s="145"/>
      <c r="BV140" s="145"/>
      <c r="BW140" s="145"/>
      <c r="BX140" s="145"/>
      <c r="BY140" s="145"/>
      <c r="BZ140" s="145"/>
      <c r="CA140" s="145"/>
      <c r="CB140" s="145"/>
      <c r="CC140" s="145"/>
      <c r="CD140" s="145"/>
      <c r="CE140" s="145"/>
      <c r="CF140" s="145"/>
      <c r="CG140" s="145"/>
      <c r="CH140" s="385"/>
      <c r="CJ140" s="385" t="s">
        <v>260</v>
      </c>
      <c r="CK140" s="385" t="s">
        <v>271</v>
      </c>
      <c r="CM140" s="385" t="s">
        <v>261</v>
      </c>
    </row>
    <row r="141" s="385" customFormat="1" ht="54" customHeight="1" spans="1:91">
      <c r="A141" s="385">
        <v>134</v>
      </c>
      <c r="C141" s="471">
        <v>45130</v>
      </c>
      <c r="D141" s="385">
        <v>20230006190</v>
      </c>
      <c r="E141" s="1026" t="s">
        <v>1101</v>
      </c>
      <c r="F141" s="456" t="s">
        <v>990</v>
      </c>
      <c r="G141" s="142" t="s">
        <v>991</v>
      </c>
      <c r="H141" s="125"/>
      <c r="I141" s="385" t="s">
        <v>254</v>
      </c>
      <c r="J141" s="385">
        <v>21</v>
      </c>
      <c r="K141" s="385">
        <v>42.7</v>
      </c>
      <c r="L141" s="385">
        <v>42.7</v>
      </c>
      <c r="M141" s="385">
        <v>16849.62</v>
      </c>
      <c r="N141" s="469">
        <v>719479</v>
      </c>
      <c r="O141" s="145">
        <v>16749.62</v>
      </c>
      <c r="Q141" s="385">
        <v>660072.48</v>
      </c>
      <c r="R141" s="1026" t="s">
        <v>1102</v>
      </c>
      <c r="S141" s="471">
        <v>45618</v>
      </c>
      <c r="T141" s="145"/>
      <c r="U141" s="146"/>
      <c r="V141" s="440"/>
      <c r="W141" s="440" t="s">
        <v>993</v>
      </c>
      <c r="X141" s="145">
        <v>100000</v>
      </c>
      <c r="Y141" s="440" t="s">
        <v>342</v>
      </c>
      <c r="Z141" s="145">
        <v>619310</v>
      </c>
      <c r="AA141" s="146" t="s">
        <v>994</v>
      </c>
      <c r="AB141" s="145">
        <v>169</v>
      </c>
      <c r="AC141" s="146" t="s">
        <v>839</v>
      </c>
      <c r="AL141" s="145">
        <f t="shared" si="38"/>
        <v>719479</v>
      </c>
      <c r="AO141" s="446">
        <f t="shared" si="35"/>
        <v>0</v>
      </c>
      <c r="AP141" s="385">
        <v>1520998666</v>
      </c>
      <c r="AT141" s="447">
        <f t="shared" si="33"/>
        <v>200</v>
      </c>
      <c r="AU141" s="447"/>
      <c r="AV141" s="145"/>
      <c r="AW141" s="145">
        <v>200</v>
      </c>
      <c r="AX141" s="145"/>
      <c r="AY141" s="145"/>
      <c r="AZ141" s="145"/>
      <c r="BA141" s="145"/>
      <c r="BB141" s="145"/>
      <c r="BC141" s="145">
        <f t="shared" si="34"/>
        <v>719310</v>
      </c>
      <c r="BD141" s="540">
        <f>1%+0.25%</f>
        <v>0.0125</v>
      </c>
      <c r="BE141" s="145">
        <v>719310</v>
      </c>
      <c r="BF141" s="145"/>
      <c r="BG141" s="145"/>
      <c r="BH141" s="145"/>
      <c r="BI141" s="145"/>
      <c r="BJ141" s="145"/>
      <c r="BK141" s="145"/>
      <c r="BL141" s="145"/>
      <c r="BM141" s="145"/>
      <c r="BN141" s="145"/>
      <c r="BO141" s="145"/>
      <c r="BP141" s="145"/>
      <c r="BQ141" s="145"/>
      <c r="BR141" s="145"/>
      <c r="BS141" s="145"/>
      <c r="BT141" s="145"/>
      <c r="BU141" s="145"/>
      <c r="BV141" s="145"/>
      <c r="BW141" s="145"/>
      <c r="BX141" s="145"/>
      <c r="BY141" s="145"/>
      <c r="BZ141" s="145"/>
      <c r="CA141" s="145"/>
      <c r="CB141" s="145"/>
      <c r="CC141" s="145"/>
      <c r="CD141" s="145"/>
      <c r="CE141" s="145"/>
      <c r="CF141" s="145"/>
      <c r="CG141" s="145"/>
      <c r="CH141" s="385"/>
      <c r="CJ141" s="385" t="s">
        <v>260</v>
      </c>
      <c r="CK141" s="385" t="s">
        <v>271</v>
      </c>
      <c r="CM141" s="385" t="s">
        <v>261</v>
      </c>
    </row>
    <row r="142" s="385" customFormat="1" customHeight="1" spans="1:91">
      <c r="A142" s="385">
        <v>135</v>
      </c>
      <c r="C142" s="471">
        <v>45149</v>
      </c>
      <c r="D142" s="385">
        <v>20230006850</v>
      </c>
      <c r="E142" s="1026" t="s">
        <v>1103</v>
      </c>
      <c r="F142" s="456" t="s">
        <v>979</v>
      </c>
      <c r="G142" s="142" t="s">
        <v>980</v>
      </c>
      <c r="H142" s="125"/>
      <c r="I142" s="385" t="s">
        <v>254</v>
      </c>
      <c r="J142" s="385">
        <v>22</v>
      </c>
      <c r="K142" s="385">
        <v>42.7</v>
      </c>
      <c r="L142" s="385">
        <v>42.7</v>
      </c>
      <c r="M142" s="385">
        <v>17135</v>
      </c>
      <c r="N142" s="469">
        <v>731665</v>
      </c>
      <c r="O142" s="145">
        <v>16935.72</v>
      </c>
      <c r="Q142" s="385">
        <v>671252.29</v>
      </c>
      <c r="R142" s="1026" t="s">
        <v>1104</v>
      </c>
      <c r="S142" s="471">
        <v>45768</v>
      </c>
      <c r="T142" s="145"/>
      <c r="U142" s="146"/>
      <c r="V142" s="146"/>
      <c r="W142" s="440" t="s">
        <v>983</v>
      </c>
      <c r="X142" s="145">
        <v>100000</v>
      </c>
      <c r="Y142" s="440" t="s">
        <v>342</v>
      </c>
      <c r="Z142" s="145">
        <f>120000+151493</f>
        <v>271493</v>
      </c>
      <c r="AA142" s="146" t="s">
        <v>1105</v>
      </c>
      <c r="AB142" s="145">
        <v>360000</v>
      </c>
      <c r="AC142" s="146" t="s">
        <v>918</v>
      </c>
      <c r="AL142" s="145">
        <f t="shared" si="38"/>
        <v>731493</v>
      </c>
      <c r="AO142" s="446">
        <f t="shared" si="35"/>
        <v>172</v>
      </c>
      <c r="AT142" s="447">
        <f t="shared" si="33"/>
        <v>200</v>
      </c>
      <c r="AU142" s="447"/>
      <c r="AV142" s="145"/>
      <c r="AW142" s="145">
        <v>200</v>
      </c>
      <c r="AX142" s="145"/>
      <c r="AY142" s="145"/>
      <c r="AZ142" s="145"/>
      <c r="BA142" s="145"/>
      <c r="BB142" s="145"/>
      <c r="BC142" s="145">
        <f t="shared" si="34"/>
        <v>731493</v>
      </c>
      <c r="BD142" s="540">
        <f>1%+0.25%</f>
        <v>0.0125</v>
      </c>
      <c r="BE142" s="145"/>
      <c r="BF142" s="145">
        <v>371493</v>
      </c>
      <c r="BG142" s="145">
        <v>360000</v>
      </c>
      <c r="BH142" s="145"/>
      <c r="BI142" s="145"/>
      <c r="BJ142" s="145"/>
      <c r="BK142" s="145"/>
      <c r="BL142" s="145"/>
      <c r="BM142" s="145"/>
      <c r="BN142" s="145"/>
      <c r="BO142" s="145"/>
      <c r="BP142" s="145"/>
      <c r="BQ142" s="145"/>
      <c r="BR142" s="145"/>
      <c r="BS142" s="145"/>
      <c r="BT142" s="145"/>
      <c r="BU142" s="145"/>
      <c r="BV142" s="145"/>
      <c r="BW142" s="145"/>
      <c r="BX142" s="145"/>
      <c r="BY142" s="145"/>
      <c r="BZ142" s="145"/>
      <c r="CA142" s="145"/>
      <c r="CB142" s="145"/>
      <c r="CC142" s="145"/>
      <c r="CD142" s="145"/>
      <c r="CE142" s="145"/>
      <c r="CF142" s="145"/>
      <c r="CG142" s="145"/>
      <c r="CH142" s="385"/>
      <c r="CJ142" s="385" t="s">
        <v>260</v>
      </c>
      <c r="CK142" s="385" t="s">
        <v>271</v>
      </c>
      <c r="CM142" s="385" t="s">
        <v>261</v>
      </c>
    </row>
    <row r="143" s="385" customFormat="1" ht="68" customHeight="1" spans="1:91">
      <c r="A143" s="385">
        <v>136</v>
      </c>
      <c r="C143" s="471">
        <v>45149</v>
      </c>
      <c r="D143" s="385">
        <v>20230006852</v>
      </c>
      <c r="E143" s="1026" t="s">
        <v>1106</v>
      </c>
      <c r="F143" s="456" t="s">
        <v>979</v>
      </c>
      <c r="G143" s="142" t="s">
        <v>980</v>
      </c>
      <c r="H143" s="125"/>
      <c r="I143" s="385" t="s">
        <v>254</v>
      </c>
      <c r="J143" s="385">
        <v>23</v>
      </c>
      <c r="K143" s="385">
        <v>41.69</v>
      </c>
      <c r="L143" s="385">
        <v>41.69</v>
      </c>
      <c r="M143" s="385">
        <v>17201.58</v>
      </c>
      <c r="N143" s="469">
        <v>717135</v>
      </c>
      <c r="O143" s="145">
        <v>17121.41</v>
      </c>
      <c r="Q143" s="385">
        <v>657922.02</v>
      </c>
      <c r="R143" s="1026" t="s">
        <v>1107</v>
      </c>
      <c r="S143" s="471">
        <v>45768</v>
      </c>
      <c r="T143" s="145"/>
      <c r="U143" s="146"/>
      <c r="V143" s="142"/>
      <c r="W143" s="142" t="s">
        <v>1108</v>
      </c>
      <c r="X143" s="145">
        <f>5000-5000+100000</f>
        <v>100000</v>
      </c>
      <c r="Y143" s="440" t="s">
        <v>1109</v>
      </c>
      <c r="Z143" s="145">
        <f>165537+1425</f>
        <v>166962</v>
      </c>
      <c r="AA143" s="146" t="s">
        <v>985</v>
      </c>
      <c r="AB143" s="145">
        <v>100000</v>
      </c>
      <c r="AC143" s="146" t="s">
        <v>1105</v>
      </c>
      <c r="AD143" s="145">
        <v>350000</v>
      </c>
      <c r="AE143" s="146" t="s">
        <v>918</v>
      </c>
      <c r="AL143" s="145">
        <f t="shared" si="38"/>
        <v>716962</v>
      </c>
      <c r="AO143" s="446">
        <f t="shared" si="35"/>
        <v>173</v>
      </c>
      <c r="AT143" s="447">
        <f t="shared" si="33"/>
        <v>400</v>
      </c>
      <c r="AU143" s="447"/>
      <c r="AV143" s="145"/>
      <c r="AW143" s="145">
        <f>200+200</f>
        <v>400</v>
      </c>
      <c r="AX143" s="145"/>
      <c r="AY143" s="145"/>
      <c r="AZ143" s="145"/>
      <c r="BA143" s="145"/>
      <c r="BB143" s="145"/>
      <c r="BC143" s="145">
        <f t="shared" si="34"/>
        <v>716962</v>
      </c>
      <c r="BD143" s="540">
        <f>1%+0.25%</f>
        <v>0.0125</v>
      </c>
      <c r="BE143" s="145"/>
      <c r="BF143" s="145">
        <v>366962</v>
      </c>
      <c r="BG143" s="145">
        <v>350000</v>
      </c>
      <c r="BH143" s="145"/>
      <c r="BI143" s="145"/>
      <c r="BJ143" s="145"/>
      <c r="BK143" s="145"/>
      <c r="BL143" s="145"/>
      <c r="BM143" s="145"/>
      <c r="BN143" s="145"/>
      <c r="BO143" s="145"/>
      <c r="BP143" s="145"/>
      <c r="BQ143" s="145"/>
      <c r="BR143" s="145"/>
      <c r="BS143" s="145"/>
      <c r="BT143" s="145"/>
      <c r="BU143" s="145"/>
      <c r="BV143" s="145"/>
      <c r="BW143" s="145"/>
      <c r="BX143" s="145"/>
      <c r="BY143" s="145"/>
      <c r="BZ143" s="145"/>
      <c r="CA143" s="145"/>
      <c r="CB143" s="145"/>
      <c r="CC143" s="145"/>
      <c r="CD143" s="145"/>
      <c r="CE143" s="145"/>
      <c r="CF143" s="145"/>
      <c r="CG143" s="145"/>
      <c r="CH143" s="385"/>
      <c r="CJ143" s="385" t="s">
        <v>260</v>
      </c>
      <c r="CK143" s="385" t="s">
        <v>271</v>
      </c>
      <c r="CM143" s="385" t="s">
        <v>261</v>
      </c>
    </row>
    <row r="144" s="385" customFormat="1" customHeight="1" spans="1:91">
      <c r="A144" s="385">
        <v>137</v>
      </c>
      <c r="C144" s="471">
        <v>45130</v>
      </c>
      <c r="D144" s="385">
        <v>20230006202</v>
      </c>
      <c r="E144" s="1026" t="s">
        <v>1110</v>
      </c>
      <c r="F144" s="456" t="s">
        <v>969</v>
      </c>
      <c r="G144" s="142" t="s">
        <v>1111</v>
      </c>
      <c r="H144" s="125"/>
      <c r="I144" s="385" t="s">
        <v>254</v>
      </c>
      <c r="J144" s="385">
        <v>24</v>
      </c>
      <c r="K144" s="385">
        <v>58.46</v>
      </c>
      <c r="L144" s="385">
        <v>58.46</v>
      </c>
      <c r="M144" s="385">
        <v>19436.81</v>
      </c>
      <c r="N144" s="469">
        <v>1136276</v>
      </c>
      <c r="O144" s="145">
        <v>19336.81</v>
      </c>
      <c r="Q144" s="385">
        <v>1042455.05</v>
      </c>
      <c r="R144" s="1026" t="s">
        <v>1112</v>
      </c>
      <c r="S144" s="471">
        <v>45621</v>
      </c>
      <c r="T144" s="145"/>
      <c r="U144" s="440"/>
      <c r="V144" s="146"/>
      <c r="W144" s="440" t="s">
        <v>1113</v>
      </c>
      <c r="X144" s="145">
        <v>100000</v>
      </c>
      <c r="Y144" s="440" t="s">
        <v>976</v>
      </c>
      <c r="Z144" s="145">
        <v>1036082</v>
      </c>
      <c r="AA144" s="440" t="s">
        <v>977</v>
      </c>
      <c r="AB144" s="145">
        <v>194</v>
      </c>
      <c r="AC144" s="440" t="s">
        <v>839</v>
      </c>
      <c r="AL144" s="145">
        <f t="shared" si="38"/>
        <v>1136276</v>
      </c>
      <c r="AO144" s="446">
        <f t="shared" si="35"/>
        <v>0</v>
      </c>
      <c r="AT144" s="447">
        <f t="shared" si="33"/>
        <v>200</v>
      </c>
      <c r="AU144" s="447"/>
      <c r="AV144" s="145"/>
      <c r="AW144" s="145"/>
      <c r="AX144" s="145"/>
      <c r="AY144" s="145"/>
      <c r="AZ144" s="145">
        <v>200</v>
      </c>
      <c r="BA144" s="145"/>
      <c r="BB144" s="145"/>
      <c r="BC144" s="145">
        <f t="shared" si="34"/>
        <v>1136082</v>
      </c>
      <c r="BD144" s="540">
        <f t="shared" ref="BD144:BD146" si="40">1%+0.18%+0.25%</f>
        <v>0.0143</v>
      </c>
      <c r="BE144" s="145">
        <v>1136082</v>
      </c>
      <c r="BF144" s="145"/>
      <c r="BG144" s="145"/>
      <c r="BH144" s="145"/>
      <c r="BI144" s="145"/>
      <c r="BJ144" s="145"/>
      <c r="BK144" s="145"/>
      <c r="BL144" s="145"/>
      <c r="BM144" s="145"/>
      <c r="BN144" s="145"/>
      <c r="BO144" s="145"/>
      <c r="BP144" s="145"/>
      <c r="BQ144" s="145"/>
      <c r="BR144" s="145"/>
      <c r="BS144" s="145"/>
      <c r="BT144" s="145"/>
      <c r="BU144" s="145"/>
      <c r="BV144" s="145"/>
      <c r="BW144" s="145"/>
      <c r="BX144" s="145"/>
      <c r="BY144" s="145"/>
      <c r="BZ144" s="145"/>
      <c r="CA144" s="145"/>
      <c r="CB144" s="145"/>
      <c r="CC144" s="145"/>
      <c r="CD144" s="145"/>
      <c r="CE144" s="145"/>
      <c r="CF144" s="145"/>
      <c r="CG144" s="145"/>
      <c r="CH144" s="385"/>
      <c r="CJ144" s="385" t="s">
        <v>260</v>
      </c>
      <c r="CK144" s="385" t="s">
        <v>271</v>
      </c>
      <c r="CM144" s="385" t="s">
        <v>261</v>
      </c>
    </row>
    <row r="145" s="385" customFormat="1" customHeight="1" spans="1:99">
      <c r="A145" s="385">
        <v>138</v>
      </c>
      <c r="C145" s="471">
        <v>45566</v>
      </c>
      <c r="D145" s="385">
        <v>20240005476</v>
      </c>
      <c r="F145" s="456" t="s">
        <v>1114</v>
      </c>
      <c r="G145" s="385" t="s">
        <v>1115</v>
      </c>
      <c r="H145" s="125"/>
      <c r="I145" s="385" t="s">
        <v>361</v>
      </c>
      <c r="J145" s="385">
        <v>1</v>
      </c>
      <c r="K145" s="385">
        <v>351.53</v>
      </c>
      <c r="L145" s="385">
        <v>351.53</v>
      </c>
      <c r="M145" s="385">
        <v>9925</v>
      </c>
      <c r="N145" s="469">
        <v>3488935</v>
      </c>
      <c r="O145" s="145">
        <v>9439.37</v>
      </c>
      <c r="Q145" s="442">
        <v>3200857.8</v>
      </c>
      <c r="R145" s="1026" t="s">
        <v>1116</v>
      </c>
      <c r="S145" s="471">
        <v>45590</v>
      </c>
      <c r="T145" s="145"/>
      <c r="U145" s="146"/>
      <c r="V145" s="146"/>
      <c r="W145" s="146"/>
      <c r="X145" s="145">
        <v>10000</v>
      </c>
      <c r="Y145" s="146" t="s">
        <v>1117</v>
      </c>
      <c r="Z145" s="145">
        <v>30000</v>
      </c>
      <c r="AA145" s="146" t="s">
        <v>1118</v>
      </c>
      <c r="AB145" s="145">
        <v>1720298</v>
      </c>
      <c r="AC145" s="146">
        <v>45538</v>
      </c>
      <c r="AD145" s="145">
        <v>900000</v>
      </c>
      <c r="AE145" s="146">
        <v>45563</v>
      </c>
      <c r="AF145" s="145">
        <v>860000</v>
      </c>
      <c r="AG145" s="146" t="s">
        <v>1119</v>
      </c>
      <c r="AH145" s="145">
        <v>-31363</v>
      </c>
      <c r="AI145" s="146"/>
      <c r="AL145" s="145">
        <f t="shared" si="38"/>
        <v>3488935</v>
      </c>
      <c r="AO145" s="446">
        <f t="shared" si="35"/>
        <v>0</v>
      </c>
      <c r="AT145" s="447">
        <f t="shared" si="33"/>
        <v>0</v>
      </c>
      <c r="AU145" s="447"/>
      <c r="AV145" s="145"/>
      <c r="AW145" s="145"/>
      <c r="AX145" s="145"/>
      <c r="AY145" s="145"/>
      <c r="AZ145" s="145"/>
      <c r="BA145" s="145"/>
      <c r="BB145" s="145"/>
      <c r="BC145" s="145">
        <f t="shared" si="34"/>
        <v>3488935</v>
      </c>
      <c r="BD145" s="540">
        <f>1%+0.18%+0.2%</f>
        <v>0.0138</v>
      </c>
      <c r="BE145" s="145"/>
      <c r="BF145" s="145"/>
      <c r="BG145" s="145"/>
      <c r="BH145" s="145"/>
      <c r="BI145" s="145"/>
      <c r="BJ145" s="145"/>
      <c r="BK145" s="145"/>
      <c r="BL145" s="145"/>
      <c r="BM145" s="145"/>
      <c r="BN145" s="145"/>
      <c r="BO145" s="145"/>
      <c r="BP145" s="145"/>
      <c r="BQ145" s="145"/>
      <c r="BR145" s="145"/>
      <c r="BS145" s="145"/>
      <c r="BT145" s="145">
        <v>3488935</v>
      </c>
      <c r="BU145" s="145"/>
      <c r="BV145" s="145"/>
      <c r="BW145" s="145"/>
      <c r="BX145" s="145"/>
      <c r="BY145" s="145"/>
      <c r="BZ145" s="145"/>
      <c r="CA145" s="145"/>
      <c r="CB145" s="145"/>
      <c r="CC145" s="145"/>
      <c r="CD145" s="145"/>
      <c r="CE145" s="145"/>
      <c r="CF145" s="145"/>
      <c r="CG145" s="145"/>
      <c r="CH145" s="385"/>
      <c r="CJ145" s="385" t="s">
        <v>260</v>
      </c>
      <c r="CM145" s="385" t="s">
        <v>261</v>
      </c>
    </row>
    <row r="146" s="204" customFormat="1" ht="39" customHeight="1" spans="1:99">
      <c r="A146" s="204">
        <v>139</v>
      </c>
      <c r="B146" s="204"/>
      <c r="C146" s="435"/>
      <c r="F146" s="479" t="s">
        <v>1120</v>
      </c>
      <c r="G146" s="429" t="s">
        <v>1121</v>
      </c>
      <c r="H146" s="101"/>
      <c r="I146" s="204" t="s">
        <v>361</v>
      </c>
      <c r="J146" s="204">
        <v>2</v>
      </c>
      <c r="K146" s="204">
        <v>312.83</v>
      </c>
      <c r="L146" s="204"/>
      <c r="M146" s="204"/>
      <c r="N146" s="519"/>
      <c r="O146" s="431">
        <v>9439.46</v>
      </c>
      <c r="P146" s="204"/>
      <c r="T146" s="431"/>
      <c r="U146" s="484"/>
      <c r="W146" s="429" t="s">
        <v>267</v>
      </c>
      <c r="X146" s="431">
        <f>100000-100000</f>
        <v>0</v>
      </c>
      <c r="Y146" s="484" t="s">
        <v>1122</v>
      </c>
      <c r="Z146" s="431"/>
      <c r="AA146" s="484"/>
      <c r="AC146" s="436"/>
      <c r="AL146" s="431">
        <f t="shared" si="38"/>
        <v>0</v>
      </c>
      <c r="AO146" s="578">
        <f t="shared" si="35"/>
        <v>0</v>
      </c>
      <c r="AP146" s="204">
        <v>15001560828</v>
      </c>
      <c r="AQ146" s="204" t="s">
        <v>574</v>
      </c>
      <c r="AT146" s="438">
        <f t="shared" si="33"/>
        <v>200</v>
      </c>
      <c r="AU146" s="438"/>
      <c r="AV146" s="431">
        <v>200</v>
      </c>
      <c r="AW146" s="431"/>
      <c r="AX146" s="431"/>
      <c r="AY146" s="431"/>
      <c r="AZ146" s="431"/>
      <c r="BA146" s="431"/>
      <c r="BB146" s="431"/>
      <c r="BC146" s="431">
        <f t="shared" si="34"/>
        <v>0</v>
      </c>
      <c r="BD146" s="606"/>
      <c r="BE146" s="431"/>
      <c r="BF146" s="431"/>
      <c r="BG146" s="431"/>
      <c r="BH146" s="431"/>
      <c r="BI146" s="431"/>
      <c r="BJ146" s="431"/>
      <c r="BK146" s="431"/>
      <c r="BL146" s="431"/>
      <c r="BM146" s="431"/>
      <c r="BN146" s="431"/>
      <c r="BO146" s="431"/>
      <c r="BP146" s="431"/>
      <c r="BQ146" s="431"/>
      <c r="BR146" s="431"/>
      <c r="BS146" s="431"/>
      <c r="BT146" s="431"/>
      <c r="BU146" s="431"/>
      <c r="BV146" s="431"/>
      <c r="BW146" s="431"/>
      <c r="BX146" s="431"/>
      <c r="BY146" s="431"/>
      <c r="BZ146" s="431"/>
      <c r="CA146" s="431"/>
      <c r="CB146" s="431"/>
      <c r="CC146" s="431"/>
      <c r="CD146" s="431"/>
      <c r="CE146" s="431"/>
      <c r="CF146" s="431"/>
      <c r="CG146" s="431"/>
      <c r="CJ146" s="204" t="s">
        <v>260</v>
      </c>
    </row>
    <row r="147" s="204" customFormat="1" customHeight="1" spans="1:99">
      <c r="A147" s="204">
        <v>140</v>
      </c>
      <c r="C147" s="435"/>
      <c r="F147" s="479"/>
      <c r="G147" s="204"/>
      <c r="H147" s="125"/>
      <c r="I147" s="204" t="s">
        <v>361</v>
      </c>
      <c r="J147" s="204">
        <v>3</v>
      </c>
      <c r="K147" s="204">
        <v>312.6</v>
      </c>
      <c r="N147" s="519"/>
      <c r="O147" s="431">
        <v>9994.46</v>
      </c>
      <c r="P147" s="204"/>
      <c r="T147" s="431"/>
      <c r="U147" s="484"/>
      <c r="V147" s="484"/>
      <c r="W147" s="484"/>
      <c r="X147" s="431"/>
      <c r="Y147" s="484"/>
      <c r="Z147" s="431"/>
      <c r="AA147" s="436"/>
      <c r="AC147" s="436"/>
      <c r="AL147" s="431">
        <f t="shared" si="38"/>
        <v>0</v>
      </c>
      <c r="AO147" s="578">
        <f t="shared" si="35"/>
        <v>0</v>
      </c>
      <c r="AT147" s="438">
        <f t="shared" si="33"/>
        <v>0</v>
      </c>
      <c r="AU147" s="429"/>
      <c r="BC147" s="431">
        <f t="shared" si="34"/>
        <v>0</v>
      </c>
      <c r="CR147" s="385"/>
      <c r="CU147" s="385"/>
    </row>
    <row r="148" s="385" customFormat="1" ht="14.25" spans="1:99">
      <c r="A148" s="385">
        <v>141</v>
      </c>
      <c r="B148" s="385"/>
      <c r="C148" s="471">
        <v>46057</v>
      </c>
      <c r="D148" s="385">
        <v>20260000726</v>
      </c>
      <c r="F148" s="456" t="s">
        <v>1123</v>
      </c>
      <c r="G148" s="142" t="s">
        <v>1124</v>
      </c>
      <c r="H148" s="125"/>
      <c r="I148" s="385" t="s">
        <v>361</v>
      </c>
      <c r="J148" s="385">
        <v>4</v>
      </c>
      <c r="K148" s="385">
        <v>346.53</v>
      </c>
      <c r="L148" s="385">
        <v>346.53</v>
      </c>
      <c r="M148" s="385">
        <v>11000</v>
      </c>
      <c r="N148" s="469">
        <v>3811830</v>
      </c>
      <c r="O148" s="145">
        <v>11031</v>
      </c>
      <c r="P148" s="385" t="s">
        <v>660</v>
      </c>
      <c r="T148" s="145"/>
      <c r="U148" s="146"/>
      <c r="V148" s="448"/>
      <c r="W148" s="146" t="s">
        <v>722</v>
      </c>
      <c r="X148" s="145">
        <v>213551</v>
      </c>
      <c r="Y148" s="146" t="s">
        <v>1125</v>
      </c>
      <c r="Z148" s="145">
        <v>500000</v>
      </c>
      <c r="AA148" s="146">
        <v>46057</v>
      </c>
      <c r="AC148" s="442"/>
      <c r="AL148" s="145">
        <f t="shared" si="38"/>
        <v>713551</v>
      </c>
      <c r="AO148" s="446">
        <f t="shared" si="35"/>
        <v>3098279</v>
      </c>
      <c r="AP148" s="385">
        <v>17799966228</v>
      </c>
      <c r="AT148" s="447">
        <f t="shared" si="33"/>
        <v>200</v>
      </c>
      <c r="AU148" s="447"/>
      <c r="AV148" s="145"/>
      <c r="AW148" s="145"/>
      <c r="AX148" s="145"/>
      <c r="AY148" s="145">
        <v>200</v>
      </c>
      <c r="AZ148" s="145"/>
      <c r="BA148" s="145"/>
      <c r="BB148" s="145"/>
      <c r="BC148" s="145">
        <f t="shared" si="34"/>
        <v>0</v>
      </c>
      <c r="BD148" s="140">
        <f>1%+0.25%+0.03%</f>
        <v>0.0128</v>
      </c>
      <c r="BE148" s="145"/>
      <c r="BF148" s="145"/>
      <c r="BG148" s="145"/>
      <c r="BH148" s="145"/>
      <c r="BI148" s="145"/>
      <c r="BJ148" s="145"/>
      <c r="BK148" s="145"/>
      <c r="BL148" s="145"/>
      <c r="BM148" s="145"/>
      <c r="BN148" s="145"/>
      <c r="BO148" s="145"/>
      <c r="BP148" s="145"/>
      <c r="BQ148" s="145"/>
      <c r="BR148" s="145"/>
      <c r="BS148" s="145"/>
      <c r="BT148" s="145"/>
      <c r="BU148" s="145"/>
      <c r="BV148" s="145"/>
      <c r="BW148" s="145"/>
      <c r="BX148" s="145"/>
      <c r="BY148" s="145"/>
      <c r="BZ148" s="145"/>
      <c r="CA148" s="145"/>
      <c r="CB148" s="145"/>
      <c r="CC148" s="145"/>
      <c r="CD148" s="145"/>
      <c r="CE148" s="145"/>
      <c r="CF148" s="145"/>
      <c r="CG148" s="145"/>
      <c r="CJ148" s="385" t="s">
        <v>260</v>
      </c>
      <c r="CM148" s="385" t="s">
        <v>261</v>
      </c>
    </row>
    <row r="149" s="204" customFormat="1" ht="14.25" spans="1:99">
      <c r="C149" s="435"/>
      <c r="F149" s="479"/>
      <c r="G149" s="429"/>
      <c r="H149" s="204"/>
      <c r="I149" s="204"/>
      <c r="J149" s="479"/>
      <c r="N149" s="519"/>
      <c r="O149" s="431"/>
      <c r="T149" s="431"/>
      <c r="U149" s="484"/>
      <c r="V149" s="484"/>
      <c r="W149" s="484"/>
      <c r="X149" s="431"/>
      <c r="Y149" s="484"/>
      <c r="Z149" s="431"/>
      <c r="AA149" s="484"/>
      <c r="AB149" s="431"/>
      <c r="AC149" s="484"/>
      <c r="AL149" s="431">
        <f t="shared" si="38"/>
        <v>0</v>
      </c>
      <c r="AO149" s="578"/>
      <c r="AT149" s="438">
        <f t="shared" si="33"/>
        <v>0</v>
      </c>
      <c r="AU149" s="429"/>
      <c r="BC149" s="431">
        <f t="shared" si="34"/>
        <v>0</v>
      </c>
      <c r="CR149" s="385"/>
      <c r="CU149" s="385"/>
    </row>
    <row r="150" s="204" customFormat="1" ht="14.25" spans="1:99">
      <c r="C150" s="435"/>
      <c r="F150" s="479"/>
      <c r="J150" s="480"/>
      <c r="K150" s="204"/>
      <c r="N150" s="519"/>
      <c r="O150" s="431"/>
      <c r="T150" s="431"/>
      <c r="U150" s="484"/>
      <c r="X150" s="431"/>
      <c r="Y150" s="484"/>
      <c r="Z150" s="431"/>
      <c r="AA150" s="436"/>
      <c r="AC150" s="436"/>
      <c r="AL150" s="431">
        <f t="shared" si="38"/>
        <v>0</v>
      </c>
      <c r="AO150" s="578"/>
      <c r="AT150" s="438">
        <f t="shared" si="33"/>
        <v>200</v>
      </c>
      <c r="AU150" s="438"/>
      <c r="AV150" s="431"/>
      <c r="AW150" s="431">
        <v>200</v>
      </c>
      <c r="AX150" s="431"/>
      <c r="AY150" s="431"/>
      <c r="AZ150" s="431"/>
      <c r="BA150" s="431"/>
      <c r="BB150" s="431"/>
      <c r="BC150" s="431">
        <f t="shared" si="34"/>
        <v>0</v>
      </c>
      <c r="BD150" s="606"/>
      <c r="BE150" s="431"/>
      <c r="BF150" s="431"/>
      <c r="BG150" s="431"/>
      <c r="BH150" s="431"/>
      <c r="BI150" s="431"/>
      <c r="BJ150" s="431"/>
      <c r="BK150" s="431"/>
      <c r="BL150" s="431"/>
      <c r="BM150" s="431"/>
      <c r="BN150" s="431"/>
      <c r="BO150" s="431"/>
      <c r="BP150" s="431"/>
      <c r="BQ150" s="431"/>
      <c r="BR150" s="431"/>
      <c r="BS150" s="431"/>
      <c r="BT150" s="431"/>
      <c r="BU150" s="431"/>
      <c r="BV150" s="431"/>
      <c r="BW150" s="431"/>
      <c r="BX150" s="431"/>
      <c r="BY150" s="431"/>
      <c r="BZ150" s="431"/>
      <c r="CA150" s="431"/>
      <c r="CB150" s="431"/>
      <c r="CC150" s="431"/>
      <c r="CD150" s="431"/>
      <c r="CE150" s="431"/>
      <c r="CF150" s="431"/>
      <c r="CG150" s="431"/>
      <c r="CU150" s="385"/>
    </row>
    <row r="151" s="556" customFormat="1" ht="14.25" spans="1:99">
      <c r="A151" s="607" t="s">
        <v>68</v>
      </c>
      <c r="B151" s="556">
        <f>SUM(B4:B150)</f>
        <v>0</v>
      </c>
      <c r="K151" s="556">
        <f>SUM(K4:K150)</f>
        <v>15319.5</v>
      </c>
      <c r="L151" s="556">
        <f>SUM(L4:L150)</f>
        <v>12409.42</v>
      </c>
      <c r="N151" s="556">
        <f>SUM(N4:N150)</f>
        <v>179684584</v>
      </c>
      <c r="Q151" s="556">
        <f>SUM(Q4:Q150)</f>
        <v>154446958.67</v>
      </c>
      <c r="T151" s="556">
        <f>SUM(T4:T150)</f>
        <v>0</v>
      </c>
      <c r="X151" s="556">
        <f>SUM(X4:X150)</f>
        <v>13652906</v>
      </c>
      <c r="Z151" s="556">
        <f t="shared" ref="Z151:AE151" si="41">SUM(Z4:Z150)</f>
        <v>52187415</v>
      </c>
      <c r="AB151" s="556">
        <f t="shared" si="41"/>
        <v>54996680</v>
      </c>
      <c r="AD151" s="556">
        <f t="shared" si="41"/>
        <v>27132697</v>
      </c>
      <c r="AF151" s="556">
        <f t="shared" ref="AF151:AJ151" si="42">SUM(AF4:AF150)</f>
        <v>11499184</v>
      </c>
      <c r="AH151" s="556">
        <f t="shared" si="42"/>
        <v>5509619</v>
      </c>
      <c r="AJ151" s="556">
        <f t="shared" si="42"/>
        <v>7459172</v>
      </c>
      <c r="AL151" s="556">
        <f>SUM(AL4:AL150)</f>
        <v>172437673</v>
      </c>
      <c r="AM151" s="556">
        <f>SUM(AM4:AM150)</f>
        <v>0</v>
      </c>
      <c r="AN151" s="556">
        <f>SUM(AN4:AN150)</f>
        <v>0</v>
      </c>
      <c r="AO151" s="556">
        <f>SUM(AO4:AO150)</f>
        <v>7246911</v>
      </c>
      <c r="AS151" s="556">
        <f t="shared" ref="AS151:BC151" si="43">SUM(AS4:AS150)</f>
        <v>0</v>
      </c>
      <c r="AT151" s="556">
        <f t="shared" si="43"/>
        <v>52000</v>
      </c>
      <c r="AU151" s="556">
        <f t="shared" si="43"/>
        <v>7400</v>
      </c>
      <c r="AV151" s="556">
        <f t="shared" si="43"/>
        <v>11400</v>
      </c>
      <c r="AW151" s="556">
        <f t="shared" si="43"/>
        <v>8200</v>
      </c>
      <c r="AX151" s="556">
        <f t="shared" si="43"/>
        <v>2600</v>
      </c>
      <c r="AY151" s="556">
        <f t="shared" si="43"/>
        <v>7600</v>
      </c>
      <c r="AZ151" s="556">
        <f t="shared" si="43"/>
        <v>2200</v>
      </c>
      <c r="BA151" s="556">
        <f t="shared" si="43"/>
        <v>9900</v>
      </c>
      <c r="BB151" s="556">
        <f t="shared" si="43"/>
        <v>2700</v>
      </c>
      <c r="BC151" s="556">
        <f t="shared" si="43"/>
        <v>164129859</v>
      </c>
      <c r="BD151" s="608"/>
      <c r="BE151" s="556">
        <f t="shared" ref="BE151:CB151" si="44">SUM(BE4:BE150)</f>
        <v>17730216</v>
      </c>
      <c r="BF151" s="556">
        <f t="shared" si="44"/>
        <v>4111918</v>
      </c>
      <c r="BG151" s="556">
        <f t="shared" si="44"/>
        <v>4770516</v>
      </c>
      <c r="BH151" s="556">
        <f t="shared" si="44"/>
        <v>13604163</v>
      </c>
      <c r="BI151" s="556">
        <f t="shared" si="44"/>
        <v>3089045</v>
      </c>
      <c r="BJ151" s="556">
        <f t="shared" si="44"/>
        <v>8641180</v>
      </c>
      <c r="BK151" s="556">
        <f t="shared" si="44"/>
        <v>5030501</v>
      </c>
      <c r="BL151" s="556">
        <f t="shared" si="44"/>
        <v>2121800</v>
      </c>
      <c r="BM151" s="556">
        <f t="shared" si="44"/>
        <v>5955540</v>
      </c>
      <c r="BN151" s="556">
        <f t="shared" si="44"/>
        <v>4557422</v>
      </c>
      <c r="BO151" s="556">
        <f t="shared" si="44"/>
        <v>7398416</v>
      </c>
      <c r="BP151" s="556">
        <f t="shared" si="44"/>
        <v>4449700</v>
      </c>
      <c r="BQ151" s="556">
        <f t="shared" si="44"/>
        <v>10016139</v>
      </c>
      <c r="BR151" s="556">
        <f t="shared" si="44"/>
        <v>6940511</v>
      </c>
      <c r="BS151" s="556">
        <f t="shared" si="44"/>
        <v>13715313</v>
      </c>
      <c r="BT151" s="556">
        <f t="shared" si="44"/>
        <v>9258296</v>
      </c>
      <c r="BU151" s="556">
        <f t="shared" si="44"/>
        <v>15515679</v>
      </c>
      <c r="BV151" s="556">
        <f t="shared" si="44"/>
        <v>4606113</v>
      </c>
      <c r="BW151" s="556">
        <f t="shared" si="44"/>
        <v>4931738</v>
      </c>
      <c r="BX151" s="556">
        <f t="shared" si="44"/>
        <v>2789468</v>
      </c>
      <c r="BY151" s="556">
        <f t="shared" si="44"/>
        <v>2168070</v>
      </c>
      <c r="BZ151" s="556">
        <f t="shared" si="44"/>
        <v>2085040</v>
      </c>
      <c r="CA151" s="556">
        <f t="shared" si="44"/>
        <v>990722</v>
      </c>
      <c r="CB151" s="556">
        <f t="shared" si="44"/>
        <v>-520071</v>
      </c>
      <c r="CH151" s="556">
        <f>SUM(CH4:CH150)</f>
        <v>0</v>
      </c>
      <c r="CM151" s="556">
        <f>SUM(CM4:CM150)</f>
        <v>0</v>
      </c>
      <c r="CN151" s="556">
        <f>SUM(CN4:CN150)</f>
        <v>0</v>
      </c>
      <c r="CO151" s="556">
        <f>SUM(CO4:CO150)</f>
        <v>1981.444</v>
      </c>
      <c r="CP151" s="556">
        <f>SUM(CP4:CP150)</f>
        <v>1387.0108</v>
      </c>
      <c r="CQ151" s="556">
        <f>SUM(CQ4:CQ150)</f>
        <v>594.4332</v>
      </c>
    </row>
    <row r="152" s="204" customFormat="1" ht="14.25" spans="1:99">
      <c r="F152" s="479"/>
      <c r="J152" s="479"/>
      <c r="N152" s="519"/>
      <c r="O152" s="431"/>
      <c r="P152" s="578"/>
      <c r="Q152" s="432"/>
      <c r="R152" s="578"/>
      <c r="S152" s="578" t="s">
        <v>1126</v>
      </c>
      <c r="T152" s="431"/>
      <c r="X152" s="431"/>
      <c r="Z152" s="431"/>
      <c r="AA152" s="436"/>
      <c r="AC152" s="436"/>
      <c r="AL152" s="431"/>
      <c r="AO152" s="578"/>
      <c r="AT152" s="431"/>
      <c r="AU152" s="431"/>
      <c r="AV152" s="431"/>
      <c r="AW152" s="431"/>
      <c r="AX152" s="431"/>
      <c r="AY152" s="431"/>
      <c r="AZ152" s="431"/>
      <c r="BA152" s="431"/>
      <c r="BB152" s="431"/>
      <c r="BC152" s="431"/>
      <c r="BD152" s="606"/>
      <c r="BE152" s="431"/>
      <c r="BF152" s="431"/>
      <c r="BG152" s="431"/>
      <c r="BH152" s="431"/>
      <c r="BI152" s="431"/>
      <c r="BJ152" s="431"/>
      <c r="BK152" s="431"/>
      <c r="BL152" s="431"/>
      <c r="BM152" s="431"/>
      <c r="BN152" s="431"/>
      <c r="BO152" s="431"/>
      <c r="BP152" s="431"/>
      <c r="BQ152" s="431"/>
      <c r="BR152" s="431"/>
      <c r="BS152" s="431"/>
      <c r="BT152" s="431"/>
      <c r="BU152" s="431"/>
      <c r="BV152" s="431"/>
      <c r="BW152" s="431"/>
      <c r="BX152" s="431">
        <f>BX151+'画堂春锦苑商业16#19#'!AR64</f>
        <v>6397540</v>
      </c>
      <c r="BY152" s="431"/>
      <c r="BZ152" s="431"/>
      <c r="CA152" s="431"/>
      <c r="CB152" s="431"/>
      <c r="CC152" s="431"/>
      <c r="CD152" s="431"/>
      <c r="CE152" s="431"/>
      <c r="CF152" s="431"/>
      <c r="CG152" s="431"/>
    </row>
    <row r="153" s="204" customFormat="1" ht="14.25" spans="1:99">
      <c r="F153" s="479"/>
      <c r="J153" s="479"/>
      <c r="N153" s="519"/>
      <c r="O153" s="431"/>
      <c r="P153" s="578"/>
      <c r="Q153" s="578"/>
      <c r="R153" s="578"/>
      <c r="S153" s="578" t="s">
        <v>1127</v>
      </c>
      <c r="T153" s="431"/>
      <c r="X153" s="431"/>
      <c r="Z153" s="431"/>
      <c r="AA153" s="436"/>
      <c r="AC153" s="436"/>
      <c r="AL153" s="431"/>
      <c r="AO153" s="578"/>
      <c r="AT153" s="431"/>
      <c r="AU153" s="431"/>
      <c r="AV153" s="431"/>
      <c r="AW153" s="431"/>
      <c r="AX153" s="431"/>
      <c r="AY153" s="431"/>
      <c r="AZ153" s="431"/>
      <c r="BA153" s="431"/>
      <c r="BB153" s="431"/>
      <c r="BC153" s="431"/>
      <c r="BD153" s="606"/>
      <c r="BE153" s="431"/>
      <c r="BF153" s="431"/>
      <c r="BG153" s="431"/>
      <c r="BH153" s="431"/>
      <c r="BI153" s="431"/>
      <c r="BJ153" s="431"/>
      <c r="BK153" s="431"/>
      <c r="BL153" s="431"/>
      <c r="BM153" s="431"/>
      <c r="BN153" s="431"/>
      <c r="BO153" s="431"/>
      <c r="BP153" s="431"/>
      <c r="BQ153" s="431"/>
      <c r="BR153" s="431"/>
      <c r="BS153" s="431"/>
      <c r="BT153" s="431"/>
      <c r="BU153" s="431"/>
      <c r="BV153" s="431"/>
      <c r="BW153" s="431"/>
      <c r="BX153" s="431"/>
      <c r="BY153" s="431"/>
      <c r="BZ153" s="431"/>
      <c r="CA153" s="431"/>
      <c r="CB153" s="431"/>
      <c r="CC153" s="431"/>
      <c r="CD153" s="431"/>
      <c r="CE153" s="431"/>
      <c r="CF153" s="431"/>
      <c r="CG153" s="431"/>
    </row>
    <row r="154" s="204" customFormat="1" ht="14.25" spans="1:99">
      <c r="F154" s="479"/>
      <c r="J154" s="479"/>
      <c r="K154" s="204" t="s">
        <v>1128</v>
      </c>
      <c r="N154" s="519"/>
      <c r="O154" s="431"/>
      <c r="P154" s="578"/>
      <c r="Q154" s="578"/>
      <c r="R154" s="578"/>
      <c r="S154" s="204" t="s">
        <v>72</v>
      </c>
      <c r="T154" s="519"/>
      <c r="X154" s="493"/>
      <c r="Z154" s="431"/>
      <c r="AA154" s="436"/>
      <c r="AC154" s="436"/>
      <c r="AL154" s="431"/>
      <c r="AO154" s="578"/>
      <c r="AT154" s="431"/>
      <c r="AU154" s="431"/>
      <c r="AV154" s="431"/>
      <c r="AW154" s="431"/>
      <c r="AX154" s="431"/>
      <c r="AY154" s="431"/>
      <c r="AZ154" s="431"/>
      <c r="BA154" s="431"/>
      <c r="BB154" s="431"/>
      <c r="BC154" s="431"/>
      <c r="BD154" s="606"/>
      <c r="BE154" s="431"/>
      <c r="BF154" s="431"/>
      <c r="BG154" s="431"/>
      <c r="BH154" s="431"/>
      <c r="BI154" s="431"/>
      <c r="BJ154" s="431"/>
      <c r="BK154" s="431"/>
      <c r="BL154" s="431"/>
      <c r="BM154" s="431"/>
      <c r="BN154" s="431"/>
      <c r="BO154" s="431"/>
      <c r="BP154" s="431"/>
      <c r="BQ154" s="431"/>
      <c r="BR154" s="431"/>
      <c r="BS154" s="431"/>
      <c r="BT154" s="431"/>
      <c r="BU154" s="431"/>
      <c r="BV154" s="431"/>
      <c r="BW154" s="431"/>
      <c r="BX154" s="431"/>
      <c r="BY154" s="431"/>
      <c r="BZ154" s="431"/>
      <c r="CA154" s="431"/>
      <c r="CB154" s="431"/>
      <c r="CC154" s="431"/>
      <c r="CD154" s="431"/>
      <c r="CE154" s="431"/>
      <c r="CF154" s="431"/>
      <c r="CG154" s="431"/>
    </row>
    <row r="155" s="204" customFormat="1" ht="14.25" spans="1:99">
      <c r="F155" s="479"/>
      <c r="J155" s="479"/>
      <c r="N155" s="519"/>
      <c r="O155" s="431"/>
      <c r="P155" s="578"/>
      <c r="Q155" s="578"/>
      <c r="R155" s="578"/>
      <c r="S155" s="431"/>
      <c r="T155" s="204"/>
      <c r="X155" s="431"/>
      <c r="Z155" s="431"/>
      <c r="AA155" s="436"/>
      <c r="AB155" s="431"/>
      <c r="AC155" s="436"/>
      <c r="AL155" s="431"/>
      <c r="AO155" s="578"/>
      <c r="AT155" s="431"/>
      <c r="AU155" s="431"/>
      <c r="AV155" s="431"/>
      <c r="AW155" s="431"/>
      <c r="AX155" s="431"/>
      <c r="AY155" s="431"/>
      <c r="AZ155" s="431"/>
      <c r="BA155" s="431"/>
      <c r="BB155" s="431"/>
      <c r="BC155" s="431"/>
      <c r="BD155" s="606"/>
      <c r="BE155" s="431"/>
      <c r="BF155" s="431"/>
      <c r="BG155" s="431"/>
      <c r="BH155" s="431"/>
      <c r="BI155" s="431"/>
      <c r="BJ155" s="431"/>
      <c r="BK155" s="431"/>
      <c r="BL155" s="431"/>
      <c r="BM155" s="431"/>
      <c r="BN155" s="431"/>
      <c r="BO155" s="431"/>
      <c r="BP155" s="431"/>
      <c r="BQ155" s="431"/>
      <c r="BR155" s="431"/>
      <c r="BS155" s="431"/>
      <c r="BT155" s="431"/>
      <c r="BU155" s="431"/>
      <c r="BV155" s="431"/>
      <c r="BW155" s="431"/>
      <c r="BX155" s="431"/>
      <c r="BY155" s="431"/>
      <c r="BZ155" s="431"/>
      <c r="CA155" s="431"/>
      <c r="CB155" s="431"/>
      <c r="CC155" s="431"/>
      <c r="CD155" s="431"/>
      <c r="CE155" s="431"/>
      <c r="CF155" s="431"/>
      <c r="CG155" s="431"/>
    </row>
    <row r="156" ht="14.25" spans="1:99">
      <c r="S156" s="431"/>
      <c r="T156" s="204"/>
      <c r="U156" s="609"/>
      <c r="BD156" s="606"/>
    </row>
    <row r="157" ht="14.25" spans="1:99">
      <c r="S157" s="431"/>
      <c r="T157" s="204"/>
      <c r="U157" s="40"/>
      <c r="BD157" s="606"/>
    </row>
    <row r="158" ht="14.25" spans="1:99">
      <c r="T158" s="204"/>
      <c r="BD158" s="606"/>
    </row>
    <row r="159" ht="14.25" spans="1:99">
      <c r="N159" s="519">
        <v>172596091</v>
      </c>
      <c r="T159" s="204"/>
    </row>
    <row r="160" ht="14.25" spans="1:99">
      <c r="N160" s="519">
        <f>160040228-1162000</f>
        <v>158878228</v>
      </c>
      <c r="T160" s="204"/>
    </row>
    <row r="161" ht="14.25" spans="14:87">
      <c r="N161" s="519">
        <f>SUBTOTAL(9,N159:N160)</f>
        <v>331474319</v>
      </c>
      <c r="T161" s="204"/>
    </row>
    <row r="162" ht="14.25" spans="14:87">
      <c r="N162" s="519">
        <v>336343305</v>
      </c>
      <c r="T162" s="204"/>
    </row>
    <row r="163" ht="14.25" spans="14:87">
      <c r="N163" s="519">
        <f>N162-N161</f>
        <v>4868986</v>
      </c>
      <c r="T163" s="204"/>
    </row>
    <row r="164" ht="14.25" spans="14:87">
      <c r="T164" s="204"/>
    </row>
    <row r="165" ht="14.25" spans="14:87">
      <c r="T165" s="204"/>
      <c r="CH165" s="204" t="s">
        <v>1129</v>
      </c>
      <c r="CI165" s="204">
        <v>52657.8</v>
      </c>
    </row>
    <row r="166" customHeight="1" spans="14:87">
      <c r="T166" s="204"/>
    </row>
  </sheetData>
  <autoFilter xmlns:etc="http://www.wps.cn/officeDocument/2017/etCustomData" ref="A3:CU165" etc:filterBottomFollowUsedRange="0">
    <extLst/>
  </autoFilter>
  <mergeCells count="81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H2:CH3"/>
    <mergeCell ref="CJ2:CJ3"/>
    <mergeCell ref="CK2:CK3"/>
    <mergeCell ref="CL2:CL3"/>
    <mergeCell ref="CN2:CN3"/>
    <mergeCell ref="CO2:CO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1130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 t="e">
        <v>#N/A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1130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1130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 t="e">
        <v>#N/A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1130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1130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1130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1130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1143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 t="e">
        <v>#N/A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1143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1143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1143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1143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67" t="s">
        <v>1143</v>
      </c>
    </row>
    <row r="2" ht="15" spans="1:3">
      <c r="A2" s="567" t="s">
        <v>1131</v>
      </c>
    </row>
    <row r="3" ht="15" spans="1:3">
      <c r="A3" s="568" t="s">
        <v>1132</v>
      </c>
      <c r="C3" s="569" t="s">
        <v>1133</v>
      </c>
    </row>
    <row r="4" spans="1:3">
      <c r="A4" s="568">
        <v>3</v>
      </c>
    </row>
    <row r="6" ht="15"/>
    <row r="7" spans="1:3">
      <c r="A7" s="570" t="s">
        <v>1134</v>
      </c>
    </row>
    <row r="8" spans="1:3">
      <c r="A8" s="571" t="s">
        <v>1135</v>
      </c>
    </row>
    <row r="9" spans="1:3">
      <c r="A9" s="572" t="s">
        <v>1136</v>
      </c>
    </row>
    <row r="10" spans="1:3">
      <c r="A10" s="571" t="s">
        <v>1137</v>
      </c>
    </row>
    <row r="11" ht="15" spans="1:3">
      <c r="A11" s="573" t="s">
        <v>1138</v>
      </c>
    </row>
    <row r="13" ht="15"/>
    <row r="14" ht="15" spans="1:3">
      <c r="A14" s="569" t="s">
        <v>1139</v>
      </c>
    </row>
    <row r="16" ht="15"/>
    <row r="17" ht="15" spans="1:3">
      <c r="C17" s="569" t="s">
        <v>1140</v>
      </c>
    </row>
    <row r="20" spans="1:3">
      <c r="A20" s="574" t="s">
        <v>1141</v>
      </c>
    </row>
    <row r="26" ht="15" spans="1:3">
      <c r="C26" s="575" t="s">
        <v>1142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55"/>
  <sheetViews>
    <sheetView zoomScale="85" zoomScaleNormal="85" topLeftCell="BO1" workbookViewId="0">
      <pane ySplit="3" topLeftCell="A321" activePane="bottomLeft" state="frozen"/>
      <selection/>
      <selection pane="bottomLeft" activeCell="J23" sqref="J23:J332"/>
    </sheetView>
  </sheetViews>
  <sheetFormatPr defaultColWidth="9" defaultRowHeight="34" customHeight="1"/>
  <cols>
    <col min="1" max="2" width="6.55833333333333" style="385" customWidth="1"/>
    <col min="3" max="3" width="16.4083333333333" style="385" customWidth="1"/>
    <col min="4" max="4" width="16.025" style="385" customWidth="1"/>
    <col min="5" max="5" width="18.125" style="385" customWidth="1"/>
    <col min="6" max="6" width="25.6166666666667" style="385" customWidth="1"/>
    <col min="7" max="7" width="26.75" style="385" customWidth="1"/>
    <col min="8" max="8" width="13.25" style="385" hidden="1" customWidth="1"/>
    <col min="9" max="9" width="13.125" style="385" customWidth="1"/>
    <col min="10" max="10" width="11.3" style="385" customWidth="1"/>
    <col min="11" max="11" width="12.75" style="385" customWidth="1"/>
    <col min="12" max="12" width="10" style="385" customWidth="1"/>
    <col min="13" max="13" width="20.25" style="389" customWidth="1"/>
    <col min="14" max="14" width="13.125" style="145" customWidth="1"/>
    <col min="15" max="15" width="18.75" style="390" customWidth="1"/>
    <col min="16" max="16" width="19.125" style="391" customWidth="1"/>
    <col min="17" max="17" width="13.5" style="392" customWidth="1"/>
    <col min="18" max="18" width="18.75" style="145" customWidth="1"/>
    <col min="19" max="19" width="14.625" style="393" customWidth="1"/>
    <col min="20" max="20" width="22.1833333333333" style="394" customWidth="1"/>
    <col min="21" max="21" width="24.85" style="393" customWidth="1"/>
    <col min="22" max="22" width="20.1333333333333" style="145" customWidth="1"/>
    <col min="23" max="23" width="13.4333333333333" style="385" customWidth="1"/>
    <col min="24" max="24" width="18.0583333333333" style="145" customWidth="1"/>
    <col min="25" max="25" width="16.5" style="385" customWidth="1"/>
    <col min="26" max="26" width="18.25" style="145" customWidth="1"/>
    <col min="27" max="27" width="15.0166666666667" style="385" customWidth="1"/>
    <col min="28" max="28" width="17.375" style="145" customWidth="1"/>
    <col min="29" max="29" width="14.25" style="385" customWidth="1"/>
    <col min="30" max="30" width="17.5" style="385" customWidth="1"/>
    <col min="31" max="31" width="14.25" style="385" customWidth="1"/>
    <col min="32" max="32" width="17.875" style="385" customWidth="1"/>
    <col min="33" max="33" width="14.25" style="385" customWidth="1"/>
    <col min="34" max="34" width="18.875" style="145" customWidth="1"/>
    <col min="35" max="35" width="15.4" style="385" customWidth="1"/>
    <col min="36" max="36" width="13.6" style="385" customWidth="1"/>
    <col min="37" max="37" width="20.4666666666667" style="390" customWidth="1"/>
    <col min="38" max="38" width="26" style="385" customWidth="1"/>
    <col min="39" max="39" width="24.375" style="385" customWidth="1"/>
    <col min="40" max="42" width="17.9416666666667" style="385" customWidth="1"/>
    <col min="43" max="43" width="16.025" style="395" customWidth="1"/>
    <col min="44" max="44" width="19.25" style="145" customWidth="1"/>
    <col min="45" max="45" width="15.125" style="145" customWidth="1"/>
    <col min="46" max="46" width="15.75" style="145" customWidth="1"/>
    <col min="47" max="47" width="17.75" style="145" customWidth="1"/>
    <col min="48" max="48" width="19.5333333333333" style="145" customWidth="1"/>
    <col min="49" max="49" width="17" style="145" customWidth="1"/>
    <col min="50" max="50" width="16.75" style="145" customWidth="1"/>
    <col min="51" max="51" width="18" style="223" customWidth="1"/>
    <col min="52" max="52" width="18.125" style="125" customWidth="1"/>
    <col min="53" max="57" width="18.125" style="145" customWidth="1"/>
    <col min="58" max="73" width="16.7166666666667" style="385" customWidth="1"/>
    <col min="74" max="74" width="14.125" style="385" customWidth="1"/>
    <col min="75" max="75" width="11.5" style="385" customWidth="1"/>
    <col min="76" max="76" width="9.6" style="385" customWidth="1"/>
    <col min="77" max="78" width="9" style="385" customWidth="1"/>
    <col min="79" max="79" width="7.65833333333333" style="385" customWidth="1"/>
    <col min="80" max="80" width="9" style="385"/>
    <col min="81" max="82" width="9.375" style="385"/>
    <col min="83" max="87" width="9" style="385"/>
    <col min="88" max="89" width="9" style="106"/>
    <col min="90" max="16384" width="9" style="106" hidden="1" customWidth="1"/>
  </cols>
  <sheetData>
    <row r="1" s="383" customFormat="1" customHeight="1" spans="1:88">
      <c r="A1" s="383" t="s">
        <v>1144</v>
      </c>
      <c r="H1" s="396"/>
      <c r="J1" s="397"/>
      <c r="M1" s="398"/>
      <c r="N1" s="399"/>
      <c r="O1" s="400"/>
      <c r="P1" s="391"/>
      <c r="Q1" s="392"/>
      <c r="R1" s="399"/>
      <c r="S1" s="401"/>
      <c r="T1" s="402"/>
      <c r="U1" s="401"/>
      <c r="V1" s="399"/>
      <c r="X1" s="399"/>
      <c r="Y1" s="403"/>
      <c r="Z1" s="399"/>
      <c r="AB1" s="399"/>
      <c r="AH1" s="399"/>
      <c r="AI1" s="396"/>
      <c r="AJ1" s="396"/>
      <c r="AK1" s="400"/>
      <c r="AQ1" s="404"/>
      <c r="AR1" s="399"/>
      <c r="AS1" s="399"/>
      <c r="AT1" s="399"/>
      <c r="AU1" s="399"/>
      <c r="AV1" s="399"/>
      <c r="AW1" s="399"/>
      <c r="AX1" s="399"/>
      <c r="AY1" s="405"/>
      <c r="AZ1" s="406"/>
      <c r="BA1" s="399"/>
      <c r="BB1" s="399"/>
      <c r="BC1" s="399"/>
      <c r="BD1" s="399"/>
      <c r="BE1" s="399"/>
      <c r="BG1" s="407"/>
      <c r="BH1" s="407"/>
      <c r="BI1" s="407"/>
      <c r="BJ1" s="407"/>
      <c r="BK1" s="407"/>
      <c r="BL1" s="407"/>
      <c r="BM1" s="407"/>
      <c r="BN1" s="407"/>
      <c r="BO1" s="407"/>
      <c r="BP1" s="407"/>
      <c r="BQ1" s="407"/>
      <c r="BR1" s="407"/>
      <c r="BS1" s="407"/>
      <c r="BT1" s="407"/>
    </row>
    <row r="2" s="384" customFormat="1" ht="24" customHeight="1" spans="1:88">
      <c r="A2" s="384" t="s">
        <v>38</v>
      </c>
      <c r="B2" s="384" t="s">
        <v>172</v>
      </c>
      <c r="C2" s="408" t="s">
        <v>173</v>
      </c>
      <c r="D2" s="384" t="s">
        <v>174</v>
      </c>
      <c r="F2" s="384" t="s">
        <v>176</v>
      </c>
      <c r="G2" s="384" t="s">
        <v>177</v>
      </c>
      <c r="H2" s="384" t="s">
        <v>175</v>
      </c>
      <c r="I2" s="384" t="s">
        <v>179</v>
      </c>
      <c r="J2" s="409" t="s">
        <v>1145</v>
      </c>
      <c r="K2" s="384" t="s">
        <v>181</v>
      </c>
      <c r="L2" s="384" t="s">
        <v>182</v>
      </c>
      <c r="M2" s="410" t="s">
        <v>183</v>
      </c>
      <c r="N2" s="411" t="s">
        <v>1146</v>
      </c>
      <c r="O2" s="412" t="s">
        <v>186</v>
      </c>
      <c r="P2" s="413"/>
      <c r="Q2" s="414"/>
      <c r="R2" s="415" t="s">
        <v>187</v>
      </c>
      <c r="S2" s="416" t="s">
        <v>188</v>
      </c>
      <c r="T2" s="417" t="s">
        <v>189</v>
      </c>
      <c r="U2" s="417" t="s">
        <v>190</v>
      </c>
      <c r="V2" s="418" t="s">
        <v>191</v>
      </c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H2" s="419" t="s">
        <v>192</v>
      </c>
      <c r="AI2" s="408" t="s">
        <v>56</v>
      </c>
      <c r="AJ2" s="384" t="s">
        <v>194</v>
      </c>
      <c r="AK2" s="420" t="s">
        <v>59</v>
      </c>
      <c r="AL2" s="384" t="s">
        <v>195</v>
      </c>
      <c r="AM2" s="384" t="s">
        <v>47</v>
      </c>
      <c r="AN2" s="384" t="s">
        <v>1147</v>
      </c>
      <c r="AQ2" s="421" t="s">
        <v>206</v>
      </c>
      <c r="AR2" s="415" t="s">
        <v>205</v>
      </c>
      <c r="AS2" s="411" t="s">
        <v>1148</v>
      </c>
      <c r="AT2" s="411" t="s">
        <v>1149</v>
      </c>
      <c r="AU2" s="411" t="s">
        <v>1150</v>
      </c>
      <c r="AV2" s="411" t="s">
        <v>1151</v>
      </c>
      <c r="AW2" s="411" t="s">
        <v>1152</v>
      </c>
      <c r="AX2" s="411" t="s">
        <v>1153</v>
      </c>
      <c r="AY2" s="411" t="s">
        <v>1154</v>
      </c>
      <c r="AZ2" s="411" t="s">
        <v>1155</v>
      </c>
      <c r="BA2" s="411" t="s">
        <v>1156</v>
      </c>
      <c r="BB2" s="411" t="s">
        <v>1157</v>
      </c>
      <c r="BC2" s="411" t="s">
        <v>1158</v>
      </c>
      <c r="BD2" s="411" t="s">
        <v>1159</v>
      </c>
      <c r="BE2" s="411" t="s">
        <v>1160</v>
      </c>
      <c r="BF2" s="411" t="s">
        <v>1161</v>
      </c>
      <c r="BG2" s="422" t="s">
        <v>1162</v>
      </c>
      <c r="BH2" s="422" t="s">
        <v>1163</v>
      </c>
      <c r="BI2" s="422" t="s">
        <v>1164</v>
      </c>
      <c r="BJ2" s="422" t="s">
        <v>1165</v>
      </c>
      <c r="BK2" s="422" t="s">
        <v>1166</v>
      </c>
      <c r="BL2" s="422" t="s">
        <v>1167</v>
      </c>
      <c r="BM2" s="422" t="s">
        <v>1168</v>
      </c>
      <c r="BN2" s="422" t="s">
        <v>1169</v>
      </c>
      <c r="BO2" s="422" t="s">
        <v>1170</v>
      </c>
      <c r="BP2" s="422" t="s">
        <v>1171</v>
      </c>
      <c r="BQ2" s="422" t="s">
        <v>1172</v>
      </c>
      <c r="BR2" s="422" t="s">
        <v>1173</v>
      </c>
      <c r="BS2" s="422" t="s">
        <v>1174</v>
      </c>
      <c r="BT2" s="422" t="s">
        <v>1175</v>
      </c>
      <c r="BU2" s="411"/>
      <c r="BZ2" s="384" t="s">
        <v>108</v>
      </c>
    </row>
    <row r="3" s="384" customFormat="1" ht="25" customHeight="1" spans="1:88">
      <c r="C3" s="408"/>
      <c r="E3" s="384" t="s">
        <v>1176</v>
      </c>
      <c r="J3" s="423"/>
      <c r="M3" s="410"/>
      <c r="N3" s="411"/>
      <c r="O3" s="420" t="s">
        <v>238</v>
      </c>
      <c r="P3" s="424" t="s">
        <v>1177</v>
      </c>
      <c r="Q3" s="425" t="s">
        <v>1178</v>
      </c>
      <c r="R3" s="419"/>
      <c r="S3" s="416"/>
      <c r="T3" s="417"/>
      <c r="U3" s="417"/>
      <c r="V3" s="419" t="s">
        <v>240</v>
      </c>
      <c r="W3" s="384" t="s">
        <v>241</v>
      </c>
      <c r="X3" s="419" t="s">
        <v>242</v>
      </c>
      <c r="Y3" s="426" t="s">
        <v>241</v>
      </c>
      <c r="Z3" s="419" t="s">
        <v>243</v>
      </c>
      <c r="AA3" s="423" t="s">
        <v>241</v>
      </c>
      <c r="AB3" s="419" t="s">
        <v>244</v>
      </c>
      <c r="AC3" s="384" t="s">
        <v>241</v>
      </c>
      <c r="AD3" s="384" t="s">
        <v>245</v>
      </c>
      <c r="AE3" s="384" t="s">
        <v>241</v>
      </c>
      <c r="AF3" s="384" t="s">
        <v>246</v>
      </c>
      <c r="AG3" s="384" t="s">
        <v>241</v>
      </c>
      <c r="AH3" s="419"/>
      <c r="AK3" s="420"/>
      <c r="AQ3" s="421"/>
      <c r="AR3" s="415"/>
      <c r="AS3" s="411"/>
      <c r="AT3" s="411"/>
      <c r="AU3" s="411"/>
      <c r="AV3" s="411"/>
      <c r="AW3" s="411"/>
      <c r="AX3" s="411"/>
      <c r="AY3" s="411"/>
      <c r="AZ3" s="411"/>
      <c r="BA3" s="411"/>
      <c r="BB3" s="411"/>
      <c r="BC3" s="411"/>
      <c r="BD3" s="411"/>
      <c r="BE3" s="411"/>
      <c r="BF3" s="411"/>
      <c r="BG3" s="422"/>
      <c r="BH3" s="422"/>
      <c r="BI3" s="422"/>
      <c r="BJ3" s="422"/>
      <c r="BK3" s="422"/>
      <c r="BL3" s="422"/>
      <c r="BM3" s="422"/>
      <c r="BN3" s="422"/>
      <c r="BO3" s="422"/>
      <c r="BP3" s="422"/>
      <c r="BQ3" s="422"/>
      <c r="BR3" s="422"/>
      <c r="BS3" s="422"/>
      <c r="BT3" s="422"/>
      <c r="BU3" s="411"/>
      <c r="BV3" s="384" t="s">
        <v>235</v>
      </c>
      <c r="BW3" s="427"/>
      <c r="BX3" s="427"/>
      <c r="BY3" s="427"/>
      <c r="CB3" s="428"/>
      <c r="CC3" s="428"/>
      <c r="CD3" s="428"/>
    </row>
    <row r="4" s="204" customFormat="1" customHeight="1" spans="1:88">
      <c r="C4" s="429"/>
      <c r="I4" s="204" t="s">
        <v>1179</v>
      </c>
      <c r="J4" s="204">
        <v>4.49</v>
      </c>
      <c r="M4" s="430"/>
      <c r="N4" s="431"/>
      <c r="O4" s="432"/>
      <c r="P4" s="433"/>
      <c r="Q4" s="433"/>
      <c r="R4" s="431"/>
      <c r="S4" s="434"/>
      <c r="T4" s="434"/>
      <c r="U4" s="434"/>
      <c r="V4" s="431"/>
      <c r="X4" s="431"/>
      <c r="Y4" s="435"/>
      <c r="Z4" s="431"/>
      <c r="AA4" s="436"/>
      <c r="AB4" s="431"/>
      <c r="AH4" s="431">
        <f>V4+X4+Z4+AB4+AD4+AF4</f>
        <v>0</v>
      </c>
      <c r="AK4" s="432">
        <f>M4-AH4</f>
        <v>0</v>
      </c>
      <c r="AQ4" s="437">
        <v>0.02</v>
      </c>
      <c r="AR4" s="438">
        <f>SUM(AU4:BU4)</f>
        <v>0</v>
      </c>
      <c r="AS4" s="431"/>
      <c r="AT4" s="431"/>
      <c r="AU4" s="431"/>
      <c r="AV4" s="431"/>
      <c r="AW4" s="431"/>
      <c r="AX4" s="431"/>
      <c r="AY4" s="242"/>
      <c r="AZ4" s="101"/>
      <c r="BA4" s="431"/>
      <c r="BB4" s="431"/>
      <c r="BC4" s="431"/>
      <c r="BD4" s="431"/>
      <c r="BE4" s="431"/>
      <c r="BW4" s="439"/>
      <c r="BX4" s="439"/>
      <c r="BY4" s="439"/>
      <c r="CJ4" s="104"/>
    </row>
    <row r="5" s="204" customFormat="1" customHeight="1" spans="1:88">
      <c r="C5" s="429"/>
      <c r="G5" s="204" t="s">
        <v>921</v>
      </c>
      <c r="I5" s="204" t="s">
        <v>1180</v>
      </c>
      <c r="J5" s="204">
        <v>46.24</v>
      </c>
      <c r="L5" s="204">
        <f>M5/J5</f>
        <v>1730.10380622837</v>
      </c>
      <c r="M5" s="430">
        <v>80000</v>
      </c>
      <c r="N5" s="431"/>
      <c r="O5" s="432"/>
      <c r="P5" s="433"/>
      <c r="Q5" s="433"/>
      <c r="R5" s="431"/>
      <c r="S5" s="434"/>
      <c r="T5" s="434"/>
      <c r="U5" s="434"/>
      <c r="V5" s="431">
        <v>2000</v>
      </c>
      <c r="W5" s="434">
        <v>45542</v>
      </c>
      <c r="X5" s="431">
        <v>78000</v>
      </c>
      <c r="Y5" s="434">
        <v>45573</v>
      </c>
      <c r="Z5" s="431"/>
      <c r="AA5" s="436"/>
      <c r="AB5" s="431"/>
      <c r="AH5" s="431">
        <f t="shared" ref="AH5:AH34" si="0">V5+X5+Z5+AB5+AD5+AF5</f>
        <v>80000</v>
      </c>
      <c r="AK5" s="432">
        <f t="shared" ref="AK5:AK23" si="1">M5-AH5</f>
        <v>0</v>
      </c>
      <c r="AQ5" s="437">
        <v>0.02</v>
      </c>
      <c r="AR5" s="438">
        <f t="shared" ref="AR5:AR68" si="2">SUM(AU5:BU5)</f>
        <v>80000</v>
      </c>
      <c r="AS5" s="431"/>
      <c r="AT5" s="431"/>
      <c r="AU5" s="431"/>
      <c r="AV5" s="431"/>
      <c r="AW5" s="431"/>
      <c r="AX5" s="431"/>
      <c r="AY5" s="242"/>
      <c r="AZ5" s="101"/>
      <c r="BA5" s="431"/>
      <c r="BB5" s="431"/>
      <c r="BC5" s="431"/>
      <c r="BD5" s="431"/>
      <c r="BE5" s="431"/>
      <c r="BP5" s="204">
        <v>80000</v>
      </c>
      <c r="CJ5" s="104"/>
    </row>
    <row r="6" s="204" customFormat="1" customHeight="1" spans="1:88">
      <c r="C6" s="429"/>
      <c r="G6" s="204" t="s">
        <v>1181</v>
      </c>
      <c r="I6" s="204" t="s">
        <v>1182</v>
      </c>
      <c r="J6" s="204">
        <v>15.03</v>
      </c>
      <c r="L6" s="204">
        <v>2059.88</v>
      </c>
      <c r="M6" s="430">
        <v>30960</v>
      </c>
      <c r="N6" s="431"/>
      <c r="O6" s="432"/>
      <c r="P6" s="433"/>
      <c r="Q6" s="433"/>
      <c r="R6" s="431"/>
      <c r="S6" s="434"/>
      <c r="T6" s="434"/>
      <c r="U6" s="434"/>
      <c r="V6" s="431">
        <v>5000</v>
      </c>
      <c r="W6" s="434">
        <v>45538</v>
      </c>
      <c r="X6" s="431">
        <v>25960</v>
      </c>
      <c r="Y6" s="435" t="s">
        <v>1183</v>
      </c>
      <c r="Z6" s="431"/>
      <c r="AA6" s="436"/>
      <c r="AB6" s="431"/>
      <c r="AH6" s="431">
        <f t="shared" si="0"/>
        <v>30960</v>
      </c>
      <c r="AK6" s="432">
        <f t="shared" si="1"/>
        <v>0</v>
      </c>
      <c r="AQ6" s="437">
        <v>0.02</v>
      </c>
      <c r="AR6" s="438">
        <f t="shared" si="2"/>
        <v>30960</v>
      </c>
      <c r="AS6" s="431"/>
      <c r="AT6" s="431"/>
      <c r="AU6" s="431"/>
      <c r="AV6" s="431"/>
      <c r="AW6" s="431"/>
      <c r="AX6" s="431"/>
      <c r="AY6" s="242"/>
      <c r="AZ6" s="101"/>
      <c r="BA6" s="431"/>
      <c r="BB6" s="431"/>
      <c r="BC6" s="431"/>
      <c r="BD6" s="431"/>
      <c r="BE6" s="431"/>
      <c r="BN6" s="204">
        <v>30960</v>
      </c>
      <c r="CJ6" s="104"/>
    </row>
    <row r="7" s="204" customFormat="1" customHeight="1" spans="1:88">
      <c r="C7" s="429"/>
      <c r="G7" s="204" t="s">
        <v>1184</v>
      </c>
      <c r="I7" s="204" t="s">
        <v>1185</v>
      </c>
      <c r="J7" s="204">
        <v>22.01</v>
      </c>
      <c r="L7" s="204">
        <v>2059.06</v>
      </c>
      <c r="M7" s="430">
        <v>45320</v>
      </c>
      <c r="N7" s="431"/>
      <c r="O7" s="432"/>
      <c r="P7" s="433"/>
      <c r="Q7" s="433"/>
      <c r="R7" s="431"/>
      <c r="S7" s="434"/>
      <c r="T7" s="434"/>
      <c r="U7" s="434"/>
      <c r="V7" s="431">
        <v>2000</v>
      </c>
      <c r="W7" s="434">
        <v>45538</v>
      </c>
      <c r="X7" s="431">
        <v>43320</v>
      </c>
      <c r="Y7" s="434" t="s">
        <v>1186</v>
      </c>
      <c r="Z7" s="431"/>
      <c r="AA7" s="436"/>
      <c r="AB7" s="431"/>
      <c r="AH7" s="431">
        <f t="shared" si="0"/>
        <v>45320</v>
      </c>
      <c r="AK7" s="432">
        <f t="shared" si="1"/>
        <v>0</v>
      </c>
      <c r="AQ7" s="437">
        <v>0.02</v>
      </c>
      <c r="AR7" s="438">
        <f t="shared" si="2"/>
        <v>45320</v>
      </c>
      <c r="AS7" s="431"/>
      <c r="AT7" s="431"/>
      <c r="AU7" s="431"/>
      <c r="AV7" s="431"/>
      <c r="AW7" s="431"/>
      <c r="AX7" s="431"/>
      <c r="AY7" s="242"/>
      <c r="AZ7" s="101"/>
      <c r="BA7" s="431"/>
      <c r="BB7" s="431"/>
      <c r="BC7" s="431"/>
      <c r="BD7" s="431"/>
      <c r="BE7" s="431"/>
      <c r="BP7" s="204">
        <v>45320</v>
      </c>
      <c r="CJ7" s="104"/>
    </row>
    <row r="8" s="204" customFormat="1" customHeight="1" spans="1:88">
      <c r="C8" s="429"/>
      <c r="I8" s="204" t="s">
        <v>1187</v>
      </c>
      <c r="J8" s="204">
        <v>70.72</v>
      </c>
      <c r="M8" s="430"/>
      <c r="N8" s="431"/>
      <c r="O8" s="432"/>
      <c r="P8" s="433"/>
      <c r="Q8" s="433"/>
      <c r="R8" s="431"/>
      <c r="S8" s="434"/>
      <c r="T8" s="434"/>
      <c r="U8" s="434"/>
      <c r="V8" s="431"/>
      <c r="X8" s="431"/>
      <c r="Y8" s="435"/>
      <c r="Z8" s="431"/>
      <c r="AA8" s="436"/>
      <c r="AB8" s="431"/>
      <c r="AH8" s="431">
        <f t="shared" si="0"/>
        <v>0</v>
      </c>
      <c r="AK8" s="432">
        <f t="shared" si="1"/>
        <v>0</v>
      </c>
      <c r="AQ8" s="437">
        <v>0.02</v>
      </c>
      <c r="AR8" s="438">
        <f t="shared" si="2"/>
        <v>0</v>
      </c>
      <c r="AS8" s="431"/>
      <c r="AT8" s="431"/>
      <c r="AU8" s="431"/>
      <c r="AV8" s="431"/>
      <c r="AW8" s="431"/>
      <c r="AX8" s="431"/>
      <c r="AY8" s="242"/>
      <c r="AZ8" s="101"/>
      <c r="BA8" s="431"/>
      <c r="BB8" s="431"/>
      <c r="BC8" s="431"/>
      <c r="BD8" s="431"/>
      <c r="BE8" s="431"/>
      <c r="CJ8" s="104"/>
    </row>
    <row r="9" s="204" customFormat="1" customHeight="1" spans="1:88">
      <c r="C9" s="429"/>
      <c r="I9" s="204" t="s">
        <v>1188</v>
      </c>
      <c r="J9" s="204">
        <v>67.3</v>
      </c>
      <c r="M9" s="430"/>
      <c r="N9" s="431"/>
      <c r="O9" s="432"/>
      <c r="P9" s="433"/>
      <c r="Q9" s="433"/>
      <c r="R9" s="431"/>
      <c r="S9" s="434"/>
      <c r="T9" s="434"/>
      <c r="U9" s="434"/>
      <c r="V9" s="431"/>
      <c r="X9" s="431"/>
      <c r="Y9" s="435"/>
      <c r="Z9" s="431"/>
      <c r="AA9" s="436"/>
      <c r="AB9" s="431"/>
      <c r="AH9" s="431">
        <f t="shared" si="0"/>
        <v>0</v>
      </c>
      <c r="AK9" s="432">
        <f t="shared" si="1"/>
        <v>0</v>
      </c>
      <c r="AQ9" s="437">
        <v>0.02</v>
      </c>
      <c r="AR9" s="438">
        <f t="shared" si="2"/>
        <v>0</v>
      </c>
      <c r="AS9" s="431"/>
      <c r="AT9" s="431"/>
      <c r="AU9" s="431"/>
      <c r="AV9" s="431"/>
      <c r="AW9" s="431"/>
      <c r="AX9" s="431"/>
      <c r="AY9" s="242"/>
      <c r="AZ9" s="101"/>
      <c r="BA9" s="431"/>
      <c r="BB9" s="431"/>
      <c r="BC9" s="431"/>
      <c r="BD9" s="431"/>
      <c r="BE9" s="431"/>
      <c r="CJ9" s="104"/>
    </row>
    <row r="10" s="204" customFormat="1" customHeight="1" spans="1:88">
      <c r="C10" s="429"/>
      <c r="G10" s="204" t="s">
        <v>1189</v>
      </c>
      <c r="I10" s="204" t="s">
        <v>1190</v>
      </c>
      <c r="J10" s="204">
        <v>22.45</v>
      </c>
      <c r="L10" s="204">
        <v>2059.69</v>
      </c>
      <c r="M10" s="430">
        <v>46240</v>
      </c>
      <c r="N10" s="431"/>
      <c r="O10" s="432"/>
      <c r="P10" s="433"/>
      <c r="Q10" s="433"/>
      <c r="R10" s="431"/>
      <c r="S10" s="434"/>
      <c r="T10" s="434"/>
      <c r="U10" s="434"/>
      <c r="V10" s="431">
        <v>5000</v>
      </c>
      <c r="W10" s="434">
        <v>45537</v>
      </c>
      <c r="X10" s="431">
        <v>41240</v>
      </c>
      <c r="Y10" s="435">
        <v>45552</v>
      </c>
      <c r="Z10" s="431"/>
      <c r="AA10" s="436"/>
      <c r="AB10" s="431"/>
      <c r="AH10" s="431">
        <f t="shared" si="0"/>
        <v>46240</v>
      </c>
      <c r="AK10" s="432">
        <f t="shared" si="1"/>
        <v>0</v>
      </c>
      <c r="AQ10" s="437">
        <v>0.02</v>
      </c>
      <c r="AR10" s="438">
        <f t="shared" si="2"/>
        <v>46240</v>
      </c>
      <c r="AS10" s="431"/>
      <c r="AT10" s="431"/>
      <c r="AU10" s="431"/>
      <c r="AV10" s="431"/>
      <c r="AW10" s="431"/>
      <c r="AX10" s="431"/>
      <c r="AY10" s="242"/>
      <c r="AZ10" s="101"/>
      <c r="BA10" s="431"/>
      <c r="BB10" s="431"/>
      <c r="BC10" s="431"/>
      <c r="BD10" s="431"/>
      <c r="BE10" s="431"/>
      <c r="BN10" s="204">
        <v>46240</v>
      </c>
      <c r="CJ10" s="104"/>
    </row>
    <row r="11" s="204" customFormat="1" customHeight="1" spans="1:88">
      <c r="C11" s="429"/>
      <c r="G11" s="204" t="s">
        <v>1191</v>
      </c>
      <c r="I11" s="204" t="s">
        <v>1192</v>
      </c>
      <c r="J11" s="204">
        <v>11.28</v>
      </c>
      <c r="L11" s="204">
        <v>2060.28</v>
      </c>
      <c r="M11" s="430">
        <v>23240</v>
      </c>
      <c r="N11" s="431"/>
      <c r="O11" s="432"/>
      <c r="P11" s="433"/>
      <c r="Q11" s="433"/>
      <c r="R11" s="431"/>
      <c r="S11" s="434"/>
      <c r="T11" s="434"/>
      <c r="U11" s="434"/>
      <c r="V11" s="431">
        <v>23240</v>
      </c>
      <c r="W11" s="434">
        <v>45540</v>
      </c>
      <c r="X11" s="431"/>
      <c r="Y11" s="435"/>
      <c r="Z11" s="431"/>
      <c r="AA11" s="436"/>
      <c r="AB11" s="431"/>
      <c r="AH11" s="431">
        <f t="shared" si="0"/>
        <v>23240</v>
      </c>
      <c r="AK11" s="432">
        <f t="shared" si="1"/>
        <v>0</v>
      </c>
      <c r="AQ11" s="437">
        <v>0.02</v>
      </c>
      <c r="AR11" s="438">
        <f t="shared" si="2"/>
        <v>23240</v>
      </c>
      <c r="AS11" s="431"/>
      <c r="AT11" s="431"/>
      <c r="AU11" s="431"/>
      <c r="AV11" s="431"/>
      <c r="AW11" s="431"/>
      <c r="AX11" s="431"/>
      <c r="AY11" s="242"/>
      <c r="AZ11" s="101"/>
      <c r="BA11" s="431"/>
      <c r="BB11" s="431"/>
      <c r="BC11" s="431"/>
      <c r="BD11" s="431"/>
      <c r="BE11" s="431"/>
      <c r="BN11" s="204">
        <v>23240</v>
      </c>
      <c r="CJ11" s="104"/>
    </row>
    <row r="12" s="204" customFormat="1" customHeight="1" spans="1:88">
      <c r="C12" s="429"/>
      <c r="G12" s="204" t="s">
        <v>1193</v>
      </c>
      <c r="I12" s="204" t="s">
        <v>1194</v>
      </c>
      <c r="J12" s="204">
        <v>7.57</v>
      </c>
      <c r="K12" s="204"/>
      <c r="L12" s="204">
        <v>2060.77</v>
      </c>
      <c r="M12" s="430">
        <v>15600</v>
      </c>
      <c r="N12" s="431">
        <v>15600</v>
      </c>
      <c r="O12" s="432"/>
      <c r="P12" s="433"/>
      <c r="Q12" s="433"/>
      <c r="R12" s="431"/>
      <c r="S12" s="434"/>
      <c r="T12" s="434"/>
      <c r="U12" s="434"/>
      <c r="V12" s="431">
        <v>15600</v>
      </c>
      <c r="W12" s="434" t="s">
        <v>1195</v>
      </c>
      <c r="X12" s="431"/>
      <c r="Y12" s="435"/>
      <c r="Z12" s="431"/>
      <c r="AA12" s="436"/>
      <c r="AB12" s="431"/>
      <c r="AH12" s="431">
        <f t="shared" si="0"/>
        <v>15600</v>
      </c>
      <c r="AK12" s="432">
        <f t="shared" si="1"/>
        <v>0</v>
      </c>
      <c r="AQ12" s="437">
        <v>0.02</v>
      </c>
      <c r="AR12" s="438">
        <f t="shared" si="2"/>
        <v>15600</v>
      </c>
      <c r="AS12" s="431"/>
      <c r="AT12" s="431"/>
      <c r="AU12" s="431"/>
      <c r="AV12" s="431"/>
      <c r="AW12" s="431"/>
      <c r="AX12" s="431"/>
      <c r="AY12" s="242"/>
      <c r="AZ12" s="101"/>
      <c r="BA12" s="431"/>
      <c r="BB12" s="431"/>
      <c r="BC12" s="431"/>
      <c r="BD12" s="431"/>
      <c r="BE12" s="431"/>
      <c r="BR12" s="204">
        <v>15600</v>
      </c>
      <c r="CJ12" s="104"/>
    </row>
    <row r="13" s="204" customFormat="1" customHeight="1" spans="1:88">
      <c r="C13" s="429"/>
      <c r="H13" s="204" t="s">
        <v>1196</v>
      </c>
      <c r="I13" s="204" t="s">
        <v>1197</v>
      </c>
      <c r="J13" s="204">
        <v>23.09</v>
      </c>
      <c r="M13" s="430"/>
      <c r="N13" s="431">
        <v>47560</v>
      </c>
      <c r="O13" s="432"/>
      <c r="P13" s="433"/>
      <c r="Q13" s="433"/>
      <c r="R13" s="431"/>
      <c r="S13" s="434"/>
      <c r="T13" s="434"/>
      <c r="U13" s="434"/>
      <c r="V13" s="431"/>
      <c r="X13" s="431"/>
      <c r="Y13" s="435"/>
      <c r="Z13" s="431"/>
      <c r="AA13" s="436"/>
      <c r="AB13" s="431"/>
      <c r="AH13" s="431">
        <f t="shared" si="0"/>
        <v>0</v>
      </c>
      <c r="AK13" s="432">
        <f t="shared" si="1"/>
        <v>0</v>
      </c>
      <c r="AQ13" s="437">
        <v>0.02</v>
      </c>
      <c r="AR13" s="438">
        <f t="shared" si="2"/>
        <v>0</v>
      </c>
      <c r="AS13" s="431"/>
      <c r="AT13" s="431"/>
      <c r="AU13" s="431"/>
      <c r="AV13" s="431"/>
      <c r="AW13" s="431"/>
      <c r="AX13" s="431"/>
      <c r="AY13" s="242"/>
      <c r="AZ13" s="101"/>
      <c r="BA13" s="431"/>
      <c r="BB13" s="431"/>
      <c r="BC13" s="431"/>
      <c r="BD13" s="431"/>
      <c r="BE13" s="431"/>
      <c r="CJ13" s="104"/>
    </row>
    <row r="14" s="204" customFormat="1" customHeight="1" spans="1:88">
      <c r="C14" s="429"/>
      <c r="G14" s="204" t="s">
        <v>1198</v>
      </c>
      <c r="I14" s="204" t="s">
        <v>1199</v>
      </c>
      <c r="J14" s="204">
        <v>19.17</v>
      </c>
      <c r="L14" s="204">
        <v>2059.47</v>
      </c>
      <c r="M14" s="430">
        <v>39480</v>
      </c>
      <c r="N14" s="431"/>
      <c r="O14" s="432"/>
      <c r="P14" s="433"/>
      <c r="Q14" s="433"/>
      <c r="R14" s="431"/>
      <c r="S14" s="434"/>
      <c r="T14" s="434"/>
      <c r="U14" s="434"/>
      <c r="V14" s="431">
        <v>2000</v>
      </c>
      <c r="W14" s="434">
        <v>45542</v>
      </c>
      <c r="X14" s="431">
        <v>37480</v>
      </c>
      <c r="Y14" s="435" t="s">
        <v>1200</v>
      </c>
      <c r="Z14" s="431"/>
      <c r="AA14" s="436"/>
      <c r="AB14" s="431"/>
      <c r="AH14" s="431">
        <f t="shared" si="0"/>
        <v>39480</v>
      </c>
      <c r="AK14" s="432">
        <f t="shared" si="1"/>
        <v>0</v>
      </c>
      <c r="AQ14" s="437">
        <v>0.02</v>
      </c>
      <c r="AR14" s="438">
        <f t="shared" si="2"/>
        <v>39480</v>
      </c>
      <c r="AS14" s="431"/>
      <c r="AT14" s="431"/>
      <c r="AU14" s="431"/>
      <c r="AV14" s="431"/>
      <c r="AW14" s="431"/>
      <c r="AX14" s="431"/>
      <c r="AY14" s="242"/>
      <c r="AZ14" s="101"/>
      <c r="BA14" s="431"/>
      <c r="BB14" s="431"/>
      <c r="BC14" s="431"/>
      <c r="BD14" s="431"/>
      <c r="BE14" s="431"/>
      <c r="BN14" s="204">
        <v>39480</v>
      </c>
      <c r="CJ14" s="104"/>
    </row>
    <row r="15" s="204" customFormat="1" customHeight="1" spans="1:88">
      <c r="C15" s="429"/>
      <c r="G15" s="204" t="s">
        <v>1201</v>
      </c>
      <c r="I15" s="204" t="s">
        <v>1202</v>
      </c>
      <c r="J15" s="204">
        <v>14.41</v>
      </c>
      <c r="L15" s="204">
        <v>2059.68</v>
      </c>
      <c r="M15" s="430">
        <v>29680</v>
      </c>
      <c r="N15" s="431"/>
      <c r="O15" s="432"/>
      <c r="P15" s="433"/>
      <c r="Q15" s="433"/>
      <c r="R15" s="431"/>
      <c r="S15" s="434"/>
      <c r="T15" s="434"/>
      <c r="U15" s="434"/>
      <c r="V15" s="431">
        <v>2000</v>
      </c>
      <c r="W15" s="434">
        <v>45537</v>
      </c>
      <c r="X15" s="431">
        <v>27680</v>
      </c>
      <c r="Y15" s="435">
        <v>45546</v>
      </c>
      <c r="Z15" s="431"/>
      <c r="AA15" s="436"/>
      <c r="AB15" s="431"/>
      <c r="AH15" s="431">
        <f t="shared" si="0"/>
        <v>29680</v>
      </c>
      <c r="AK15" s="432">
        <f t="shared" si="1"/>
        <v>0</v>
      </c>
      <c r="AQ15" s="437">
        <v>0.02</v>
      </c>
      <c r="AR15" s="438">
        <f t="shared" si="2"/>
        <v>29680</v>
      </c>
      <c r="AS15" s="431"/>
      <c r="AT15" s="431"/>
      <c r="AU15" s="431"/>
      <c r="AV15" s="431"/>
      <c r="AW15" s="431"/>
      <c r="AX15" s="431"/>
      <c r="AY15" s="242"/>
      <c r="AZ15" s="101"/>
      <c r="BA15" s="431"/>
      <c r="BB15" s="431"/>
      <c r="BC15" s="431"/>
      <c r="BD15" s="431"/>
      <c r="BE15" s="431"/>
      <c r="BN15" s="204">
        <v>29680</v>
      </c>
      <c r="CJ15" s="104"/>
    </row>
    <row r="16" s="204" customFormat="1" customHeight="1" spans="1:88">
      <c r="C16" s="429"/>
      <c r="G16" s="204" t="s">
        <v>1203</v>
      </c>
      <c r="I16" s="204" t="s">
        <v>1204</v>
      </c>
      <c r="J16" s="204">
        <v>11.28</v>
      </c>
      <c r="L16" s="204">
        <v>2060.28</v>
      </c>
      <c r="M16" s="430">
        <v>23240</v>
      </c>
      <c r="N16" s="431"/>
      <c r="O16" s="432"/>
      <c r="P16" s="433"/>
      <c r="Q16" s="433"/>
      <c r="R16" s="431"/>
      <c r="S16" s="434"/>
      <c r="T16" s="434"/>
      <c r="U16" s="434"/>
      <c r="V16" s="431">
        <v>23240</v>
      </c>
      <c r="W16" s="434" t="s">
        <v>1205</v>
      </c>
      <c r="X16" s="431"/>
      <c r="Y16" s="435"/>
      <c r="Z16" s="431"/>
      <c r="AA16" s="436"/>
      <c r="AB16" s="431"/>
      <c r="AH16" s="431">
        <f t="shared" si="0"/>
        <v>23240</v>
      </c>
      <c r="AK16" s="432">
        <f t="shared" si="1"/>
        <v>0</v>
      </c>
      <c r="AQ16" s="437">
        <v>0.02</v>
      </c>
      <c r="AR16" s="438">
        <f t="shared" si="2"/>
        <v>23240</v>
      </c>
      <c r="AS16" s="431"/>
      <c r="AT16" s="431"/>
      <c r="AU16" s="431"/>
      <c r="AV16" s="431"/>
      <c r="AW16" s="431"/>
      <c r="AX16" s="431"/>
      <c r="AY16" s="242"/>
      <c r="AZ16" s="101"/>
      <c r="BA16" s="431"/>
      <c r="BB16" s="431"/>
      <c r="BC16" s="431"/>
      <c r="BD16" s="431"/>
      <c r="BE16" s="431"/>
      <c r="BN16" s="204">
        <v>23240</v>
      </c>
      <c r="CJ16" s="104"/>
    </row>
    <row r="17" s="204" customFormat="1" customHeight="1" spans="1:88">
      <c r="C17" s="429"/>
      <c r="G17" s="204" t="s">
        <v>1206</v>
      </c>
      <c r="I17" s="204" t="s">
        <v>1207</v>
      </c>
      <c r="J17" s="204">
        <v>22.45</v>
      </c>
      <c r="L17" s="204">
        <v>2059.69</v>
      </c>
      <c r="M17" s="430">
        <v>46240</v>
      </c>
      <c r="N17" s="431"/>
      <c r="O17" s="432"/>
      <c r="P17" s="433"/>
      <c r="Q17" s="433"/>
      <c r="R17" s="431"/>
      <c r="S17" s="434"/>
      <c r="T17" s="434"/>
      <c r="U17" s="434"/>
      <c r="V17" s="431">
        <v>2000</v>
      </c>
      <c r="W17" s="434">
        <v>45537</v>
      </c>
      <c r="X17" s="431">
        <v>44240</v>
      </c>
      <c r="Y17" s="435">
        <v>45547</v>
      </c>
      <c r="Z17" s="431"/>
      <c r="AA17" s="436"/>
      <c r="AB17" s="431"/>
      <c r="AH17" s="431">
        <f t="shared" si="0"/>
        <v>46240</v>
      </c>
      <c r="AK17" s="432">
        <f t="shared" si="1"/>
        <v>0</v>
      </c>
      <c r="AQ17" s="437">
        <v>0.02</v>
      </c>
      <c r="AR17" s="438">
        <f t="shared" si="2"/>
        <v>46240</v>
      </c>
      <c r="AS17" s="431"/>
      <c r="AT17" s="431"/>
      <c r="AU17" s="431"/>
      <c r="AV17" s="431"/>
      <c r="AW17" s="431"/>
      <c r="AX17" s="431"/>
      <c r="AY17" s="242"/>
      <c r="AZ17" s="101"/>
      <c r="BA17" s="431"/>
      <c r="BB17" s="431"/>
      <c r="BC17" s="431"/>
      <c r="BD17" s="431"/>
      <c r="BE17" s="431"/>
      <c r="BN17" s="204">
        <v>46240</v>
      </c>
      <c r="CJ17" s="104"/>
    </row>
    <row r="18" s="204" customFormat="1" customHeight="1" spans="1:88">
      <c r="C18" s="429"/>
      <c r="I18" s="204" t="s">
        <v>1208</v>
      </c>
      <c r="J18" s="204">
        <v>67.3</v>
      </c>
      <c r="M18" s="430"/>
      <c r="N18" s="431"/>
      <c r="O18" s="432"/>
      <c r="P18" s="433"/>
      <c r="Q18" s="433"/>
      <c r="R18" s="431"/>
      <c r="S18" s="434"/>
      <c r="T18" s="434"/>
      <c r="U18" s="434"/>
      <c r="V18" s="431"/>
      <c r="X18" s="431"/>
      <c r="Y18" s="435"/>
      <c r="Z18" s="431"/>
      <c r="AA18" s="436"/>
      <c r="AB18" s="431"/>
      <c r="AH18" s="431">
        <f t="shared" si="0"/>
        <v>0</v>
      </c>
      <c r="AK18" s="432">
        <f t="shared" si="1"/>
        <v>0</v>
      </c>
      <c r="AQ18" s="437">
        <v>0.02</v>
      </c>
      <c r="AR18" s="438">
        <f t="shared" si="2"/>
        <v>0</v>
      </c>
      <c r="AS18" s="431"/>
      <c r="AT18" s="431"/>
      <c r="AU18" s="431"/>
      <c r="AV18" s="431"/>
      <c r="AW18" s="431"/>
      <c r="AX18" s="431"/>
      <c r="AY18" s="242"/>
      <c r="AZ18" s="101"/>
      <c r="BA18" s="431"/>
      <c r="BB18" s="431"/>
      <c r="BC18" s="431"/>
      <c r="BD18" s="431"/>
      <c r="BE18" s="431"/>
      <c r="CJ18" s="104"/>
    </row>
    <row r="19" s="204" customFormat="1" customHeight="1" spans="1:88">
      <c r="C19" s="429"/>
      <c r="I19" s="204" t="s">
        <v>1209</v>
      </c>
      <c r="J19" s="204">
        <v>67.3</v>
      </c>
      <c r="M19" s="430"/>
      <c r="N19" s="431"/>
      <c r="O19" s="432"/>
      <c r="P19" s="433"/>
      <c r="Q19" s="433"/>
      <c r="R19" s="431"/>
      <c r="S19" s="434"/>
      <c r="T19" s="434"/>
      <c r="U19" s="434"/>
      <c r="V19" s="431"/>
      <c r="X19" s="431"/>
      <c r="Y19" s="435"/>
      <c r="Z19" s="431"/>
      <c r="AA19" s="436"/>
      <c r="AB19" s="431"/>
      <c r="AH19" s="431">
        <f t="shared" si="0"/>
        <v>0</v>
      </c>
      <c r="AK19" s="432">
        <f t="shared" si="1"/>
        <v>0</v>
      </c>
      <c r="AQ19" s="437">
        <v>0.02</v>
      </c>
      <c r="AR19" s="438">
        <f t="shared" si="2"/>
        <v>0</v>
      </c>
      <c r="AS19" s="431"/>
      <c r="AT19" s="431"/>
      <c r="AU19" s="431"/>
      <c r="AV19" s="431"/>
      <c r="AW19" s="431"/>
      <c r="AX19" s="431"/>
      <c r="AY19" s="242"/>
      <c r="AZ19" s="101"/>
      <c r="BA19" s="431"/>
      <c r="BB19" s="431"/>
      <c r="BC19" s="431"/>
      <c r="BD19" s="431"/>
      <c r="BE19" s="431"/>
      <c r="CJ19" s="104"/>
    </row>
    <row r="20" s="204" customFormat="1" customHeight="1" spans="1:88">
      <c r="C20" s="429"/>
      <c r="H20" s="204" t="s">
        <v>1196</v>
      </c>
      <c r="I20" s="204" t="s">
        <v>1210</v>
      </c>
      <c r="J20" s="204">
        <v>10.47</v>
      </c>
      <c r="M20" s="430"/>
      <c r="N20" s="431">
        <v>21560</v>
      </c>
      <c r="O20" s="432"/>
      <c r="P20" s="433"/>
      <c r="Q20" s="433"/>
      <c r="R20" s="431"/>
      <c r="S20" s="434"/>
      <c r="T20" s="434"/>
      <c r="U20" s="434"/>
      <c r="V20" s="431"/>
      <c r="X20" s="431"/>
      <c r="Y20" s="435"/>
      <c r="Z20" s="431"/>
      <c r="AA20" s="436"/>
      <c r="AB20" s="431"/>
      <c r="AH20" s="431">
        <f t="shared" si="0"/>
        <v>0</v>
      </c>
      <c r="AK20" s="432">
        <f t="shared" si="1"/>
        <v>0</v>
      </c>
      <c r="AQ20" s="437">
        <v>0.02</v>
      </c>
      <c r="AR20" s="438">
        <f t="shared" si="2"/>
        <v>0</v>
      </c>
      <c r="AS20" s="431"/>
      <c r="AT20" s="431"/>
      <c r="AU20" s="431"/>
      <c r="AV20" s="431"/>
      <c r="AW20" s="431"/>
      <c r="AX20" s="431"/>
      <c r="AY20" s="242"/>
      <c r="AZ20" s="101"/>
      <c r="BA20" s="431"/>
      <c r="BB20" s="431"/>
      <c r="BC20" s="431"/>
      <c r="BD20" s="431"/>
      <c r="BE20" s="431"/>
      <c r="CJ20" s="104"/>
    </row>
    <row r="21" s="204" customFormat="1" customHeight="1" spans="1:88">
      <c r="C21" s="429"/>
      <c r="G21" s="204" t="s">
        <v>1211</v>
      </c>
      <c r="I21" s="204" t="s">
        <v>1212</v>
      </c>
      <c r="J21" s="204">
        <v>10.8</v>
      </c>
      <c r="L21" s="204">
        <v>2059.26</v>
      </c>
      <c r="M21" s="430">
        <v>22240</v>
      </c>
      <c r="N21" s="431"/>
      <c r="O21" s="432"/>
      <c r="P21" s="433"/>
      <c r="Q21" s="433"/>
      <c r="R21" s="431"/>
      <c r="S21" s="434"/>
      <c r="T21" s="434"/>
      <c r="U21" s="434"/>
      <c r="V21" s="431">
        <v>2000</v>
      </c>
      <c r="W21" s="434">
        <v>45539</v>
      </c>
      <c r="X21" s="431">
        <v>20240</v>
      </c>
      <c r="Y21" s="435">
        <v>45543</v>
      </c>
      <c r="Z21" s="431"/>
      <c r="AA21" s="436"/>
      <c r="AB21" s="431"/>
      <c r="AH21" s="431">
        <f t="shared" si="0"/>
        <v>22240</v>
      </c>
      <c r="AK21" s="432">
        <f t="shared" si="1"/>
        <v>0</v>
      </c>
      <c r="AQ21" s="437">
        <v>0.02</v>
      </c>
      <c r="AR21" s="438">
        <f t="shared" si="2"/>
        <v>22240</v>
      </c>
      <c r="AS21" s="431"/>
      <c r="AT21" s="431"/>
      <c r="AU21" s="431"/>
      <c r="AV21" s="431"/>
      <c r="AW21" s="431"/>
      <c r="AX21" s="431"/>
      <c r="AY21" s="242"/>
      <c r="AZ21" s="101"/>
      <c r="BA21" s="431"/>
      <c r="BB21" s="431"/>
      <c r="BC21" s="431"/>
      <c r="BD21" s="431"/>
      <c r="BE21" s="431"/>
      <c r="BN21" s="204">
        <v>22240</v>
      </c>
      <c r="CJ21" s="104"/>
    </row>
    <row r="22" s="204" customFormat="1" customHeight="1" spans="1:88">
      <c r="C22" s="429"/>
      <c r="G22" s="204" t="s">
        <v>1213</v>
      </c>
      <c r="I22" s="204" t="s">
        <v>1214</v>
      </c>
      <c r="J22" s="204">
        <v>39.37</v>
      </c>
      <c r="L22" s="204">
        <v>2059.44</v>
      </c>
      <c r="M22" s="430">
        <v>81080</v>
      </c>
      <c r="N22" s="431"/>
      <c r="O22" s="432"/>
      <c r="P22" s="433"/>
      <c r="Q22" s="433"/>
      <c r="R22" s="431"/>
      <c r="S22" s="434"/>
      <c r="T22" s="434"/>
      <c r="U22" s="434"/>
      <c r="V22" s="431">
        <v>5000</v>
      </c>
      <c r="W22" s="434">
        <v>45537</v>
      </c>
      <c r="X22" s="431">
        <v>76080</v>
      </c>
      <c r="Y22" s="435" t="s">
        <v>1049</v>
      </c>
      <c r="Z22" s="431"/>
      <c r="AA22" s="436"/>
      <c r="AB22" s="431"/>
      <c r="AH22" s="431">
        <f t="shared" si="0"/>
        <v>81080</v>
      </c>
      <c r="AK22" s="432">
        <f t="shared" si="1"/>
        <v>0</v>
      </c>
      <c r="AQ22" s="437">
        <v>0.02</v>
      </c>
      <c r="AR22" s="438">
        <f t="shared" si="2"/>
        <v>81080</v>
      </c>
      <c r="AS22" s="431"/>
      <c r="AT22" s="431"/>
      <c r="AU22" s="431"/>
      <c r="AV22" s="431"/>
      <c r="AW22" s="431"/>
      <c r="AX22" s="431"/>
      <c r="AY22" s="242"/>
      <c r="AZ22" s="101"/>
      <c r="BA22" s="431"/>
      <c r="BB22" s="431"/>
      <c r="BC22" s="431"/>
      <c r="BD22" s="431"/>
      <c r="BE22" s="431"/>
      <c r="BN22" s="204">
        <v>81080</v>
      </c>
      <c r="CJ22" s="104"/>
    </row>
    <row r="23" s="385" customFormat="1" ht="40" customHeight="1" spans="1:88">
      <c r="A23" s="385">
        <v>1</v>
      </c>
      <c r="C23" s="440">
        <v>45931</v>
      </c>
      <c r="D23" s="385">
        <v>20250004955</v>
      </c>
      <c r="E23" s="385" t="s">
        <v>1215</v>
      </c>
      <c r="F23" s="1026" t="s">
        <v>350</v>
      </c>
      <c r="G23" s="142" t="s">
        <v>1216</v>
      </c>
      <c r="H23" s="142"/>
      <c r="I23" s="441" t="s">
        <v>1217</v>
      </c>
      <c r="J23" s="385">
        <v>149.84</v>
      </c>
      <c r="K23" s="385">
        <v>149.84</v>
      </c>
      <c r="L23" s="385">
        <v>8391.93</v>
      </c>
      <c r="M23" s="389">
        <v>1257447</v>
      </c>
      <c r="N23" s="145">
        <v>7873</v>
      </c>
      <c r="O23" s="442">
        <v>1153621.1</v>
      </c>
      <c r="P23" s="443" t="s">
        <v>1218</v>
      </c>
      <c r="Q23" s="444">
        <v>45951</v>
      </c>
      <c r="R23" s="145"/>
      <c r="S23" s="445"/>
      <c r="T23" s="445" t="s">
        <v>1219</v>
      </c>
      <c r="U23" s="445" t="s">
        <v>354</v>
      </c>
      <c r="V23" s="145">
        <v>20000</v>
      </c>
      <c r="W23" s="442" t="s">
        <v>846</v>
      </c>
      <c r="X23" s="145">
        <v>1257447</v>
      </c>
      <c r="Y23" s="445">
        <v>45926</v>
      </c>
      <c r="Z23" s="145">
        <v>-20000</v>
      </c>
      <c r="AA23" s="445">
        <v>46085</v>
      </c>
      <c r="AB23" s="145"/>
      <c r="AH23" s="145">
        <f t="shared" si="0"/>
        <v>1257447</v>
      </c>
      <c r="AK23" s="390">
        <f t="shared" si="1"/>
        <v>0</v>
      </c>
      <c r="AN23" s="446"/>
      <c r="AO23" s="446"/>
      <c r="AP23" s="446"/>
      <c r="AQ23" s="395">
        <f>0.6%+0.06%+0.14%</f>
        <v>0.008</v>
      </c>
      <c r="AR23" s="447">
        <f t="shared" si="2"/>
        <v>0</v>
      </c>
      <c r="AS23" s="145">
        <f>100</f>
        <v>100</v>
      </c>
      <c r="AT23" s="145">
        <f>100+100</f>
        <v>200</v>
      </c>
      <c r="AU23" s="145"/>
      <c r="AV23" s="145"/>
      <c r="AW23" s="145"/>
      <c r="AX23" s="145"/>
      <c r="AY23" s="223"/>
      <c r="BA23" s="145"/>
      <c r="BB23" s="145"/>
      <c r="BC23" s="145"/>
      <c r="BD23" s="145"/>
      <c r="BE23" s="145"/>
      <c r="BV23" s="386"/>
      <c r="BZ23" s="385" t="s">
        <v>260</v>
      </c>
      <c r="CB23" s="385" t="s">
        <v>1220</v>
      </c>
      <c r="CE23" s="204"/>
    </row>
    <row r="24" s="385" customFormat="1" ht="55" customHeight="1" spans="1:88">
      <c r="A24" s="385">
        <v>2</v>
      </c>
      <c r="C24" s="440">
        <v>44968</v>
      </c>
      <c r="D24" s="448">
        <v>20230001464</v>
      </c>
      <c r="F24" s="1026" t="s">
        <v>1221</v>
      </c>
      <c r="G24" s="142" t="s">
        <v>1222</v>
      </c>
      <c r="H24" s="1031" t="s">
        <v>1223</v>
      </c>
      <c r="I24" s="441" t="s">
        <v>1224</v>
      </c>
      <c r="J24" s="385">
        <v>140.29</v>
      </c>
      <c r="K24" s="385">
        <v>140.29</v>
      </c>
      <c r="L24" s="385">
        <v>7863</v>
      </c>
      <c r="M24" s="389">
        <v>1103100</v>
      </c>
      <c r="N24" s="145"/>
      <c r="O24" s="390">
        <v>1012018.35</v>
      </c>
      <c r="P24" s="443" t="s">
        <v>1225</v>
      </c>
      <c r="Q24" s="392">
        <v>45653</v>
      </c>
      <c r="R24" s="145"/>
      <c r="S24" s="445"/>
      <c r="T24" s="445" t="s">
        <v>1226</v>
      </c>
      <c r="U24" s="445" t="s">
        <v>1227</v>
      </c>
      <c r="V24" s="145">
        <f>20000+2000-2000</f>
        <v>20000</v>
      </c>
      <c r="W24" s="440" t="s">
        <v>1228</v>
      </c>
      <c r="X24" s="145">
        <v>20000</v>
      </c>
      <c r="Y24" s="442" t="s">
        <v>1229</v>
      </c>
      <c r="Z24" s="145">
        <v>793100</v>
      </c>
      <c r="AA24" s="442" t="s">
        <v>1230</v>
      </c>
      <c r="AB24" s="145">
        <v>270000</v>
      </c>
      <c r="AC24" s="385" t="s">
        <v>1231</v>
      </c>
      <c r="AH24" s="145">
        <f t="shared" si="0"/>
        <v>1103100</v>
      </c>
      <c r="AK24" s="390">
        <f t="shared" ref="AK24:AK87" si="3">M24-AH24</f>
        <v>0</v>
      </c>
      <c r="AL24" s="385">
        <v>13309963919</v>
      </c>
      <c r="AN24" s="446"/>
      <c r="AO24" s="446"/>
      <c r="AP24" s="446"/>
      <c r="AQ24" s="395">
        <f>0.4%+0.06%+0.14%</f>
        <v>0.006</v>
      </c>
      <c r="AR24" s="447">
        <f t="shared" si="2"/>
        <v>1103100</v>
      </c>
      <c r="AS24" s="145">
        <f>100+100+100</f>
        <v>300</v>
      </c>
      <c r="AT24" s="145"/>
      <c r="AU24" s="145"/>
      <c r="AV24" s="145">
        <v>833100</v>
      </c>
      <c r="AW24" s="145">
        <v>270000</v>
      </c>
      <c r="AX24" s="145"/>
      <c r="AY24" s="449"/>
      <c r="AZ24" s="450"/>
      <c r="BA24" s="145"/>
      <c r="BB24" s="145"/>
      <c r="BC24" s="145"/>
      <c r="BD24" s="145"/>
      <c r="BE24" s="145"/>
      <c r="BZ24" s="385" t="s">
        <v>260</v>
      </c>
      <c r="CA24" s="385" t="s">
        <v>271</v>
      </c>
      <c r="CB24" s="385" t="s">
        <v>261</v>
      </c>
      <c r="CE24" s="204"/>
    </row>
    <row r="25" s="385" customFormat="1" customHeight="1" spans="1:88">
      <c r="A25" s="385">
        <v>3</v>
      </c>
      <c r="C25" s="440">
        <v>45083</v>
      </c>
      <c r="D25" s="448">
        <v>20230004789</v>
      </c>
      <c r="F25" s="1026" t="s">
        <v>1232</v>
      </c>
      <c r="G25" s="385" t="s">
        <v>1191</v>
      </c>
      <c r="H25" s="1026" t="s">
        <v>1233</v>
      </c>
      <c r="I25" s="451" t="s">
        <v>1234</v>
      </c>
      <c r="J25" s="385">
        <v>146.97</v>
      </c>
      <c r="K25" s="385">
        <v>146.97</v>
      </c>
      <c r="L25" s="385">
        <v>5270</v>
      </c>
      <c r="M25" s="389">
        <v>774532</v>
      </c>
      <c r="N25" s="145">
        <v>5259.93</v>
      </c>
      <c r="O25" s="390">
        <v>710579.82</v>
      </c>
      <c r="P25" s="443" t="s">
        <v>1235</v>
      </c>
      <c r="Q25" s="392">
        <v>45656</v>
      </c>
      <c r="R25" s="145"/>
      <c r="U25" s="385" t="s">
        <v>284</v>
      </c>
      <c r="V25" s="145">
        <v>20000</v>
      </c>
      <c r="W25" s="385" t="s">
        <v>846</v>
      </c>
      <c r="X25" s="145">
        <v>255532</v>
      </c>
      <c r="Y25" s="442" t="s">
        <v>1236</v>
      </c>
      <c r="Z25" s="145">
        <v>499000</v>
      </c>
      <c r="AA25" s="385" t="s">
        <v>599</v>
      </c>
      <c r="AB25" s="145"/>
      <c r="AH25" s="145">
        <f t="shared" si="0"/>
        <v>774532</v>
      </c>
      <c r="AK25" s="390">
        <f t="shared" si="3"/>
        <v>0</v>
      </c>
      <c r="AL25" s="385">
        <v>18999000976</v>
      </c>
      <c r="AN25" s="446"/>
      <c r="AO25" s="446"/>
      <c r="AP25" s="446"/>
      <c r="AQ25" s="395">
        <f>0.4%+0.04%+0.14%</f>
        <v>0.0058</v>
      </c>
      <c r="AR25" s="447">
        <f t="shared" si="2"/>
        <v>774532</v>
      </c>
      <c r="AS25" s="145"/>
      <c r="AT25" s="145"/>
      <c r="AU25" s="145"/>
      <c r="AV25" s="145"/>
      <c r="AW25" s="145"/>
      <c r="AX25" s="145"/>
      <c r="AY25" s="223"/>
      <c r="AZ25" s="300">
        <v>275532</v>
      </c>
      <c r="BA25" s="145"/>
      <c r="BB25" s="145"/>
      <c r="BC25" s="145"/>
      <c r="BD25" s="145"/>
      <c r="BE25" s="145"/>
      <c r="BH25" s="385">
        <v>499000</v>
      </c>
      <c r="BZ25" s="385" t="s">
        <v>260</v>
      </c>
      <c r="CA25" s="385" t="s">
        <v>271</v>
      </c>
      <c r="CB25" s="385" t="s">
        <v>261</v>
      </c>
      <c r="CE25" s="204"/>
    </row>
    <row r="26" s="385" customFormat="1" customHeight="1" spans="1:88">
      <c r="A26" s="385">
        <v>4</v>
      </c>
      <c r="C26" s="440">
        <v>45301</v>
      </c>
      <c r="D26" s="448">
        <v>20240000220</v>
      </c>
      <c r="F26" s="1026" t="s">
        <v>1237</v>
      </c>
      <c r="G26" s="385" t="s">
        <v>1238</v>
      </c>
      <c r="H26" s="1026" t="s">
        <v>1239</v>
      </c>
      <c r="I26" s="441" t="s">
        <v>1240</v>
      </c>
      <c r="J26" s="385">
        <v>137.77</v>
      </c>
      <c r="K26" s="385">
        <v>137.77</v>
      </c>
      <c r="L26" s="385">
        <v>5334.97</v>
      </c>
      <c r="M26" s="389">
        <v>735000</v>
      </c>
      <c r="N26" s="145">
        <v>5273.09</v>
      </c>
      <c r="O26" s="390">
        <v>674311.93</v>
      </c>
      <c r="P26" s="444">
        <v>2.56520000000093e+19</v>
      </c>
      <c r="Q26" s="392">
        <v>45715</v>
      </c>
      <c r="R26" s="145"/>
      <c r="S26" s="393"/>
      <c r="T26" s="393"/>
      <c r="U26" s="393" t="s">
        <v>546</v>
      </c>
      <c r="V26" s="145">
        <v>20000</v>
      </c>
      <c r="W26" s="146" t="s">
        <v>846</v>
      </c>
      <c r="X26" s="145">
        <v>7000</v>
      </c>
      <c r="Y26" s="393" t="s">
        <v>1241</v>
      </c>
      <c r="Z26" s="145">
        <v>140000</v>
      </c>
      <c r="AA26" s="393" t="s">
        <v>1242</v>
      </c>
      <c r="AB26" s="145">
        <v>568000</v>
      </c>
      <c r="AC26" s="393" t="s">
        <v>556</v>
      </c>
      <c r="AH26" s="145">
        <f t="shared" si="0"/>
        <v>735000</v>
      </c>
      <c r="AK26" s="390">
        <f t="shared" si="3"/>
        <v>0</v>
      </c>
      <c r="AL26" s="385">
        <v>15899013512</v>
      </c>
      <c r="AN26" s="446"/>
      <c r="AO26" s="446"/>
      <c r="AP26" s="446"/>
      <c r="AQ26" s="395">
        <f>0.4%+0.08%</f>
        <v>0.0048</v>
      </c>
      <c r="AR26" s="447">
        <f t="shared" si="2"/>
        <v>735000</v>
      </c>
      <c r="AS26" s="145"/>
      <c r="AT26" s="145">
        <v>100</v>
      </c>
      <c r="AU26" s="145"/>
      <c r="AV26" s="145"/>
      <c r="AW26" s="145"/>
      <c r="AX26" s="145"/>
      <c r="AY26" s="223"/>
      <c r="AZ26" s="452"/>
      <c r="BA26" s="145"/>
      <c r="BB26" s="145"/>
      <c r="BC26" s="145"/>
      <c r="BD26" s="145"/>
      <c r="BE26" s="145"/>
      <c r="BJ26" s="385">
        <v>167000</v>
      </c>
      <c r="BK26" s="385">
        <v>568000</v>
      </c>
      <c r="BZ26" s="385" t="s">
        <v>260</v>
      </c>
      <c r="CA26" s="385" t="s">
        <v>271</v>
      </c>
      <c r="CB26" s="385" t="s">
        <v>261</v>
      </c>
      <c r="CE26" s="204"/>
    </row>
    <row r="27" s="385" customFormat="1" customHeight="1" spans="1:88">
      <c r="A27" s="385">
        <v>5</v>
      </c>
      <c r="C27" s="440">
        <v>44977</v>
      </c>
      <c r="D27" s="448">
        <v>20230001743</v>
      </c>
      <c r="F27" s="385" t="s">
        <v>1243</v>
      </c>
      <c r="G27" s="385" t="s">
        <v>1244</v>
      </c>
      <c r="I27" s="451" t="s">
        <v>1245</v>
      </c>
      <c r="J27" s="385">
        <v>146.97</v>
      </c>
      <c r="K27" s="385">
        <v>146.97</v>
      </c>
      <c r="L27" s="385">
        <v>5245.55</v>
      </c>
      <c r="M27" s="389">
        <v>770939</v>
      </c>
      <c r="N27" s="145"/>
      <c r="O27" s="390">
        <v>707283.49</v>
      </c>
      <c r="P27" s="443" t="s">
        <v>1246</v>
      </c>
      <c r="Q27" s="392">
        <v>45656</v>
      </c>
      <c r="R27" s="145"/>
      <c r="T27" s="385" t="s">
        <v>1244</v>
      </c>
      <c r="U27" s="385" t="s">
        <v>1244</v>
      </c>
      <c r="V27" s="145">
        <v>770939</v>
      </c>
      <c r="W27" s="385" t="s">
        <v>1247</v>
      </c>
      <c r="X27" s="145"/>
      <c r="Y27" s="442"/>
      <c r="Z27" s="145"/>
      <c r="AA27" s="442"/>
      <c r="AB27" s="145"/>
      <c r="AH27" s="145">
        <f t="shared" si="0"/>
        <v>770939</v>
      </c>
      <c r="AK27" s="390">
        <f t="shared" si="3"/>
        <v>0</v>
      </c>
      <c r="AL27" s="385">
        <v>13667521555</v>
      </c>
      <c r="AN27" s="446"/>
      <c r="AO27" s="446"/>
      <c r="AP27" s="446"/>
      <c r="AQ27" s="395">
        <f>0.5%+0.06%+0.14%</f>
        <v>0.007</v>
      </c>
      <c r="AR27" s="447">
        <f t="shared" si="2"/>
        <v>770939</v>
      </c>
      <c r="AS27" s="145"/>
      <c r="AT27" s="145"/>
      <c r="AU27" s="145"/>
      <c r="AV27" s="145">
        <v>770939</v>
      </c>
      <c r="AW27" s="145"/>
      <c r="AX27" s="145"/>
      <c r="AY27" s="449"/>
      <c r="AZ27" s="450"/>
      <c r="BA27" s="145"/>
      <c r="BB27" s="145"/>
      <c r="BC27" s="145"/>
      <c r="BD27" s="145"/>
      <c r="BE27" s="145"/>
      <c r="BZ27" s="385" t="s">
        <v>260</v>
      </c>
      <c r="CA27" s="385" t="s">
        <v>271</v>
      </c>
      <c r="CB27" s="385" t="s">
        <v>261</v>
      </c>
      <c r="CE27" s="204"/>
    </row>
    <row r="28" s="385" customFormat="1" customHeight="1" spans="1:88">
      <c r="A28" s="385">
        <v>6</v>
      </c>
      <c r="C28" s="440">
        <v>44967</v>
      </c>
      <c r="D28" s="448">
        <v>20230001404</v>
      </c>
      <c r="F28" s="1026" t="s">
        <v>1248</v>
      </c>
      <c r="G28" s="142" t="s">
        <v>1249</v>
      </c>
      <c r="H28" s="1031" t="s">
        <v>1250</v>
      </c>
      <c r="I28" s="441" t="s">
        <v>1251</v>
      </c>
      <c r="J28" s="385">
        <v>137.77</v>
      </c>
      <c r="K28" s="385">
        <v>137.77</v>
      </c>
      <c r="L28" s="442">
        <v>5140.96</v>
      </c>
      <c r="M28" s="389">
        <v>708270</v>
      </c>
      <c r="N28" s="145"/>
      <c r="O28" s="390">
        <v>649788.99</v>
      </c>
      <c r="P28" s="443" t="s">
        <v>1252</v>
      </c>
      <c r="Q28" s="392">
        <v>45656</v>
      </c>
      <c r="R28" s="145"/>
      <c r="S28" s="445"/>
      <c r="T28" s="453" t="s">
        <v>1253</v>
      </c>
      <c r="U28" s="445" t="s">
        <v>1254</v>
      </c>
      <c r="V28" s="145">
        <v>308270</v>
      </c>
      <c r="W28" s="442" t="s">
        <v>1228</v>
      </c>
      <c r="X28" s="145">
        <v>400000</v>
      </c>
      <c r="Y28" s="442" t="s">
        <v>883</v>
      </c>
      <c r="Z28" s="145"/>
      <c r="AA28" s="442"/>
      <c r="AB28" s="145"/>
      <c r="AH28" s="145">
        <f t="shared" si="0"/>
        <v>708270</v>
      </c>
      <c r="AK28" s="390">
        <f t="shared" si="3"/>
        <v>0</v>
      </c>
      <c r="AL28" s="385">
        <v>13779646868</v>
      </c>
      <c r="AN28" s="446"/>
      <c r="AO28" s="446"/>
      <c r="AP28" s="446"/>
      <c r="AQ28" s="395">
        <f>0.6%+0.04%+0.1%</f>
        <v>0.0074</v>
      </c>
      <c r="AR28" s="447">
        <f t="shared" si="2"/>
        <v>708270</v>
      </c>
      <c r="AS28" s="145">
        <f t="shared" ref="AS28:AS34" si="4">100</f>
        <v>100</v>
      </c>
      <c r="AT28" s="145">
        <v>100</v>
      </c>
      <c r="AU28" s="145"/>
      <c r="AV28" s="145">
        <v>308270</v>
      </c>
      <c r="AW28" s="145"/>
      <c r="AX28" s="145">
        <v>400000</v>
      </c>
      <c r="AY28" s="449"/>
      <c r="AZ28" s="450"/>
      <c r="BA28" s="145"/>
      <c r="BB28" s="145"/>
      <c r="BC28" s="145"/>
      <c r="BD28" s="145"/>
      <c r="BE28" s="145"/>
      <c r="BZ28" s="385" t="s">
        <v>260</v>
      </c>
      <c r="CA28" s="385" t="s">
        <v>271</v>
      </c>
      <c r="CB28" s="385" t="s">
        <v>261</v>
      </c>
      <c r="CE28" s="204"/>
    </row>
    <row r="29" s="385" customFormat="1" customHeight="1" spans="1:88">
      <c r="A29" s="385">
        <v>7</v>
      </c>
      <c r="C29" s="440">
        <v>44968</v>
      </c>
      <c r="D29" s="448">
        <v>20230001431</v>
      </c>
      <c r="F29" s="1026" t="s">
        <v>1255</v>
      </c>
      <c r="G29" s="385" t="s">
        <v>1203</v>
      </c>
      <c r="H29" s="1026" t="s">
        <v>1256</v>
      </c>
      <c r="I29" s="451" t="s">
        <v>1257</v>
      </c>
      <c r="J29" s="385">
        <v>146.97</v>
      </c>
      <c r="K29" s="385">
        <v>146.97</v>
      </c>
      <c r="L29" s="385">
        <v>5300</v>
      </c>
      <c r="M29" s="389">
        <v>778941</v>
      </c>
      <c r="N29" s="145"/>
      <c r="O29" s="390">
        <v>714624.77</v>
      </c>
      <c r="P29" s="443" t="s">
        <v>1258</v>
      </c>
      <c r="Q29" s="392">
        <v>45656</v>
      </c>
      <c r="R29" s="145"/>
      <c r="T29" s="385" t="s">
        <v>1203</v>
      </c>
      <c r="U29" s="385" t="s">
        <v>1203</v>
      </c>
      <c r="V29" s="145">
        <v>20000</v>
      </c>
      <c r="W29" s="385" t="s">
        <v>1259</v>
      </c>
      <c r="X29" s="145">
        <v>218941</v>
      </c>
      <c r="Y29" s="442" t="s">
        <v>1229</v>
      </c>
      <c r="Z29" s="145">
        <v>540000</v>
      </c>
      <c r="AA29" s="385" t="s">
        <v>918</v>
      </c>
      <c r="AB29" s="145"/>
      <c r="AH29" s="145">
        <f t="shared" si="0"/>
        <v>778941</v>
      </c>
      <c r="AK29" s="390">
        <f t="shared" si="3"/>
        <v>0</v>
      </c>
      <c r="AL29" s="385">
        <v>18799823394</v>
      </c>
      <c r="AN29" s="446"/>
      <c r="AO29" s="446"/>
      <c r="AP29" s="446"/>
      <c r="AQ29" s="395">
        <f>0.6%+0.05%+0.14%+0.06%</f>
        <v>0.0085</v>
      </c>
      <c r="AR29" s="447">
        <f t="shared" si="2"/>
        <v>778941</v>
      </c>
      <c r="AS29" s="145"/>
      <c r="AT29" s="145"/>
      <c r="AU29" s="145"/>
      <c r="AV29" s="145">
        <v>238941</v>
      </c>
      <c r="AW29" s="145"/>
      <c r="AX29" s="145"/>
      <c r="AY29" s="449"/>
      <c r="AZ29" s="450"/>
      <c r="BA29" s="145"/>
      <c r="BB29" s="145"/>
      <c r="BC29" s="145">
        <v>540000</v>
      </c>
      <c r="BD29" s="145"/>
      <c r="BE29" s="145"/>
      <c r="BZ29" s="385" t="s">
        <v>260</v>
      </c>
      <c r="CA29" s="385" t="s">
        <v>271</v>
      </c>
      <c r="CB29" s="385" t="s">
        <v>261</v>
      </c>
      <c r="CE29" s="204"/>
    </row>
    <row r="30" s="385" customFormat="1" customHeight="1" spans="1:88">
      <c r="A30" s="385">
        <v>8</v>
      </c>
      <c r="C30" s="440">
        <v>44962</v>
      </c>
      <c r="D30" s="448">
        <v>20230000706</v>
      </c>
      <c r="F30" s="1026" t="s">
        <v>1260</v>
      </c>
      <c r="G30" s="142" t="s">
        <v>1261</v>
      </c>
      <c r="H30" s="142"/>
      <c r="I30" s="441" t="s">
        <v>1262</v>
      </c>
      <c r="J30" s="385">
        <v>137.77</v>
      </c>
      <c r="K30" s="385">
        <v>137.77</v>
      </c>
      <c r="L30" s="385">
        <v>5320</v>
      </c>
      <c r="M30" s="389">
        <v>732936</v>
      </c>
      <c r="N30" s="145"/>
      <c r="O30" s="390">
        <v>672418.35</v>
      </c>
      <c r="P30" s="443" t="s">
        <v>1263</v>
      </c>
      <c r="Q30" s="392">
        <v>45656</v>
      </c>
      <c r="R30" s="145"/>
      <c r="S30" s="445"/>
      <c r="T30" s="445" t="s">
        <v>1264</v>
      </c>
      <c r="U30" s="445" t="s">
        <v>1264</v>
      </c>
      <c r="V30" s="145">
        <v>300936</v>
      </c>
      <c r="W30" s="454" t="s">
        <v>1265</v>
      </c>
      <c r="X30" s="145">
        <v>432000</v>
      </c>
      <c r="Y30" s="442" t="s">
        <v>1266</v>
      </c>
      <c r="Z30" s="145"/>
      <c r="AA30" s="442"/>
      <c r="AB30" s="145"/>
      <c r="AH30" s="145">
        <f t="shared" si="0"/>
        <v>732936</v>
      </c>
      <c r="AK30" s="390">
        <f t="shared" si="3"/>
        <v>0</v>
      </c>
      <c r="AL30" s="385">
        <v>18139632621</v>
      </c>
      <c r="AN30" s="446"/>
      <c r="AO30" s="446"/>
      <c r="AP30" s="446"/>
      <c r="AQ30" s="395">
        <f>0.5%+0.05%+0.14%</f>
        <v>0.0069</v>
      </c>
      <c r="AR30" s="447">
        <f t="shared" si="2"/>
        <v>732936</v>
      </c>
      <c r="AS30" s="145">
        <v>100</v>
      </c>
      <c r="AT30" s="145">
        <v>100</v>
      </c>
      <c r="AU30" s="145"/>
      <c r="AV30" s="145">
        <v>732936</v>
      </c>
      <c r="AW30" s="145"/>
      <c r="AX30" s="145"/>
      <c r="AY30" s="449"/>
      <c r="AZ30" s="450"/>
      <c r="BA30" s="145"/>
      <c r="BB30" s="145"/>
      <c r="BC30" s="145"/>
      <c r="BD30" s="145"/>
      <c r="BE30" s="145"/>
      <c r="BZ30" s="385" t="s">
        <v>260</v>
      </c>
      <c r="CA30" s="385" t="s">
        <v>271</v>
      </c>
      <c r="CB30" s="385" t="s">
        <v>261</v>
      </c>
      <c r="CE30" s="204"/>
    </row>
    <row r="31" s="385" customFormat="1" customHeight="1" spans="1:88">
      <c r="A31" s="385">
        <v>9</v>
      </c>
      <c r="C31" s="440">
        <v>44967</v>
      </c>
      <c r="D31" s="448">
        <v>20230001400</v>
      </c>
      <c r="F31" s="385" t="s">
        <v>1267</v>
      </c>
      <c r="G31" s="142" t="s">
        <v>1268</v>
      </c>
      <c r="H31" s="1031" t="s">
        <v>1269</v>
      </c>
      <c r="I31" s="451" t="s">
        <v>1270</v>
      </c>
      <c r="J31" s="385">
        <v>146.97</v>
      </c>
      <c r="K31" s="385">
        <v>146.97</v>
      </c>
      <c r="L31" s="385">
        <v>5208.96</v>
      </c>
      <c r="M31" s="389">
        <v>765561</v>
      </c>
      <c r="N31" s="145"/>
      <c r="O31" s="390">
        <v>702349.54</v>
      </c>
      <c r="P31" s="443" t="s">
        <v>1271</v>
      </c>
      <c r="Q31" s="392">
        <v>45656</v>
      </c>
      <c r="R31" s="145"/>
      <c r="S31" s="445"/>
      <c r="T31" s="453" t="s">
        <v>1272</v>
      </c>
      <c r="U31" s="445" t="s">
        <v>1273</v>
      </c>
      <c r="V31" s="145">
        <v>725561</v>
      </c>
      <c r="W31" s="442" t="s">
        <v>1228</v>
      </c>
      <c r="X31" s="145">
        <v>40000</v>
      </c>
      <c r="Y31" s="442" t="s">
        <v>809</v>
      </c>
      <c r="Z31" s="145"/>
      <c r="AA31" s="442"/>
      <c r="AB31" s="145"/>
      <c r="AH31" s="145">
        <f t="shared" si="0"/>
        <v>765561</v>
      </c>
      <c r="AK31" s="390">
        <f t="shared" si="3"/>
        <v>0</v>
      </c>
      <c r="AL31" s="385">
        <v>18167705590</v>
      </c>
      <c r="AN31" s="446"/>
      <c r="AO31" s="446"/>
      <c r="AP31" s="446"/>
      <c r="AQ31" s="395">
        <f>0.6%+0.04%+0.1%</f>
        <v>0.0074</v>
      </c>
      <c r="AR31" s="447">
        <f t="shared" si="2"/>
        <v>765561</v>
      </c>
      <c r="AS31" s="145">
        <f t="shared" si="4"/>
        <v>100</v>
      </c>
      <c r="AT31" s="145"/>
      <c r="AU31" s="145"/>
      <c r="AV31" s="145">
        <v>725561</v>
      </c>
      <c r="AW31" s="145"/>
      <c r="AX31" s="145">
        <v>40000</v>
      </c>
      <c r="AY31" s="449"/>
      <c r="AZ31" s="455"/>
      <c r="BA31" s="145"/>
      <c r="BB31" s="145"/>
      <c r="BC31" s="145"/>
      <c r="BD31" s="145"/>
      <c r="BE31" s="145"/>
      <c r="BZ31" s="385" t="s">
        <v>260</v>
      </c>
      <c r="CA31" s="385" t="s">
        <v>271</v>
      </c>
      <c r="CB31" s="385" t="s">
        <v>261</v>
      </c>
      <c r="CE31" s="204"/>
    </row>
    <row r="32" s="385" customFormat="1" customHeight="1" spans="1:88">
      <c r="A32" s="385">
        <v>10</v>
      </c>
      <c r="C32" s="440">
        <v>45046</v>
      </c>
      <c r="D32" s="448">
        <v>20230003790</v>
      </c>
      <c r="F32" s="1026" t="s">
        <v>1274</v>
      </c>
      <c r="G32" s="142" t="s">
        <v>1275</v>
      </c>
      <c r="H32" s="1031" t="s">
        <v>1276</v>
      </c>
      <c r="I32" s="441" t="s">
        <v>1277</v>
      </c>
      <c r="J32" s="385">
        <v>137.77</v>
      </c>
      <c r="K32" s="385">
        <v>137.77</v>
      </c>
      <c r="L32" s="385">
        <v>5421.94</v>
      </c>
      <c r="M32" s="389">
        <v>746980</v>
      </c>
      <c r="N32" s="145"/>
      <c r="O32" s="390">
        <v>685302.75</v>
      </c>
      <c r="P32" s="443" t="s">
        <v>1278</v>
      </c>
      <c r="Q32" s="392">
        <v>45656</v>
      </c>
      <c r="R32" s="145"/>
      <c r="S32" s="445"/>
      <c r="T32" s="453" t="s">
        <v>1275</v>
      </c>
      <c r="U32" s="445" t="s">
        <v>1279</v>
      </c>
      <c r="V32" s="145">
        <f>2000-2000</f>
        <v>0</v>
      </c>
      <c r="W32" s="440">
        <v>44761</v>
      </c>
      <c r="X32" s="145">
        <f>18000-18000</f>
        <v>0</v>
      </c>
      <c r="Y32" s="442" t="s">
        <v>1280</v>
      </c>
      <c r="Z32" s="145">
        <v>20000</v>
      </c>
      <c r="AA32" s="442" t="s">
        <v>1281</v>
      </c>
      <c r="AB32" s="145">
        <v>206980</v>
      </c>
      <c r="AC32" s="385" t="s">
        <v>846</v>
      </c>
      <c r="AD32" s="385">
        <v>520000</v>
      </c>
      <c r="AE32" s="385" t="s">
        <v>1282</v>
      </c>
      <c r="AH32" s="145">
        <f t="shared" si="0"/>
        <v>746980</v>
      </c>
      <c r="AK32" s="390">
        <f t="shared" si="3"/>
        <v>0</v>
      </c>
      <c r="AL32" s="385">
        <v>18599180069</v>
      </c>
      <c r="AN32" s="446"/>
      <c r="AO32" s="446"/>
      <c r="AP32" s="446"/>
      <c r="AQ32" s="395">
        <f>0.4%+0.1%</f>
        <v>0.005</v>
      </c>
      <c r="AR32" s="447">
        <f t="shared" si="2"/>
        <v>746980</v>
      </c>
      <c r="AS32" s="145">
        <f>100+100</f>
        <v>200</v>
      </c>
      <c r="AT32" s="145"/>
      <c r="AU32" s="145"/>
      <c r="AV32" s="145"/>
      <c r="AW32" s="145"/>
      <c r="AX32" s="145"/>
      <c r="AY32" s="449">
        <v>746980</v>
      </c>
      <c r="AZ32" s="450"/>
      <c r="BA32" s="145"/>
      <c r="BB32" s="145"/>
      <c r="BC32" s="145"/>
      <c r="BD32" s="145"/>
      <c r="BE32" s="145"/>
      <c r="BZ32" s="385" t="s">
        <v>260</v>
      </c>
      <c r="CA32" s="385" t="s">
        <v>271</v>
      </c>
      <c r="CB32" s="385" t="s">
        <v>261</v>
      </c>
      <c r="CE32" s="204"/>
    </row>
    <row r="33" s="385" customFormat="1" customHeight="1" spans="1:83">
      <c r="A33" s="385">
        <v>11</v>
      </c>
      <c r="C33" s="440">
        <v>45078</v>
      </c>
      <c r="D33" s="448">
        <v>20230004864</v>
      </c>
      <c r="F33" s="456" t="s">
        <v>1283</v>
      </c>
      <c r="G33" s="385" t="s">
        <v>1284</v>
      </c>
      <c r="H33" s="1026" t="s">
        <v>1285</v>
      </c>
      <c r="I33" s="451" t="s">
        <v>1286</v>
      </c>
      <c r="J33" s="385">
        <v>146.97</v>
      </c>
      <c r="K33" s="385">
        <v>146.97</v>
      </c>
      <c r="L33" s="442">
        <f>M33/K33</f>
        <v>5877.22664489352</v>
      </c>
      <c r="M33" s="389">
        <v>863776</v>
      </c>
      <c r="N33" s="145"/>
      <c r="O33" s="390">
        <v>792455.05</v>
      </c>
      <c r="P33" s="443" t="s">
        <v>1287</v>
      </c>
      <c r="Q33" s="392">
        <v>45656</v>
      </c>
      <c r="R33" s="145"/>
      <c r="S33" s="445"/>
      <c r="T33" s="453"/>
      <c r="U33" s="445" t="s">
        <v>370</v>
      </c>
      <c r="V33" s="145">
        <v>20000</v>
      </c>
      <c r="W33" s="393" t="s">
        <v>946</v>
      </c>
      <c r="X33" s="145">
        <v>343776</v>
      </c>
      <c r="Y33" s="442" t="s">
        <v>1288</v>
      </c>
      <c r="Z33" s="145">
        <v>500000</v>
      </c>
      <c r="AA33" s="445" t="s">
        <v>314</v>
      </c>
      <c r="AB33" s="145"/>
      <c r="AH33" s="145">
        <f t="shared" si="0"/>
        <v>863776</v>
      </c>
      <c r="AK33" s="390">
        <f t="shared" si="3"/>
        <v>0</v>
      </c>
      <c r="AL33" s="456" t="s">
        <v>1289</v>
      </c>
      <c r="AN33" s="446"/>
      <c r="AO33" s="446"/>
      <c r="AP33" s="446"/>
      <c r="AQ33" s="395">
        <f>0.6%+0.06%+0.14%</f>
        <v>0.008</v>
      </c>
      <c r="AR33" s="447">
        <f t="shared" si="2"/>
        <v>863776</v>
      </c>
      <c r="AS33" s="145">
        <f t="shared" si="4"/>
        <v>100</v>
      </c>
      <c r="AT33" s="145">
        <f>100+100</f>
        <v>200</v>
      </c>
      <c r="AU33" s="145"/>
      <c r="AV33" s="145"/>
      <c r="AW33" s="145"/>
      <c r="AX33" s="145"/>
      <c r="AY33" s="449"/>
      <c r="AZ33" s="457">
        <v>363776</v>
      </c>
      <c r="BA33" s="145"/>
      <c r="BB33" s="145"/>
      <c r="BC33" s="145"/>
      <c r="BD33" s="145">
        <v>500000</v>
      </c>
      <c r="BE33" s="145"/>
      <c r="BW33" s="458" t="s">
        <v>1290</v>
      </c>
      <c r="BZ33" s="385" t="s">
        <v>260</v>
      </c>
      <c r="CA33" s="385" t="s">
        <v>271</v>
      </c>
      <c r="CB33" s="385" t="s">
        <v>261</v>
      </c>
      <c r="CE33" s="204"/>
    </row>
    <row r="34" s="385" customFormat="1" customHeight="1" spans="1:83">
      <c r="A34" s="385">
        <v>12</v>
      </c>
      <c r="C34" s="440">
        <v>44991</v>
      </c>
      <c r="D34" s="448">
        <v>20230000730</v>
      </c>
      <c r="F34" s="1026" t="s">
        <v>1291</v>
      </c>
      <c r="G34" s="142" t="s">
        <v>1292</v>
      </c>
      <c r="H34" s="1031" t="s">
        <v>1293</v>
      </c>
      <c r="I34" s="441" t="s">
        <v>1294</v>
      </c>
      <c r="J34" s="385">
        <v>137.77</v>
      </c>
      <c r="K34" s="385">
        <v>137.77</v>
      </c>
      <c r="L34" s="385">
        <v>5265.96</v>
      </c>
      <c r="M34" s="389">
        <v>725492</v>
      </c>
      <c r="N34" s="145"/>
      <c r="O34" s="390">
        <v>665588.99</v>
      </c>
      <c r="P34" s="443" t="s">
        <v>1295</v>
      </c>
      <c r="Q34" s="392">
        <v>45656</v>
      </c>
      <c r="R34" s="145"/>
      <c r="S34" s="445"/>
      <c r="T34" s="453" t="s">
        <v>1296</v>
      </c>
      <c r="U34" s="445" t="s">
        <v>1297</v>
      </c>
      <c r="V34" s="145">
        <v>426492</v>
      </c>
      <c r="W34" s="440" t="s">
        <v>1298</v>
      </c>
      <c r="X34" s="145">
        <v>299000</v>
      </c>
      <c r="Y34" s="445" t="s">
        <v>836</v>
      </c>
      <c r="Z34" s="145"/>
      <c r="AA34" s="442"/>
      <c r="AB34" s="145"/>
      <c r="AH34" s="145">
        <f t="shared" si="0"/>
        <v>725492</v>
      </c>
      <c r="AK34" s="390">
        <f t="shared" si="3"/>
        <v>0</v>
      </c>
      <c r="AL34" s="385">
        <v>17717779640</v>
      </c>
      <c r="AN34" s="446"/>
      <c r="AO34" s="446"/>
      <c r="AP34" s="446"/>
      <c r="AQ34" s="395">
        <f>0.4%+0.04%+0.1%+0.04%</f>
        <v>0.0058</v>
      </c>
      <c r="AR34" s="447">
        <f t="shared" si="2"/>
        <v>725492</v>
      </c>
      <c r="AS34" s="145">
        <f t="shared" si="4"/>
        <v>100</v>
      </c>
      <c r="AT34" s="145">
        <f>100+100</f>
        <v>200</v>
      </c>
      <c r="AU34" s="145"/>
      <c r="AV34" s="145">
        <v>426492</v>
      </c>
      <c r="AW34" s="145"/>
      <c r="AX34" s="145"/>
      <c r="AY34" s="449"/>
      <c r="AZ34" s="450"/>
      <c r="BA34" s="145"/>
      <c r="BB34" s="145">
        <v>299000</v>
      </c>
      <c r="BC34" s="145"/>
      <c r="BD34" s="145"/>
      <c r="BE34" s="145"/>
      <c r="BZ34" s="385" t="s">
        <v>260</v>
      </c>
      <c r="CA34" s="385" t="s">
        <v>271</v>
      </c>
      <c r="CB34" s="385" t="s">
        <v>261</v>
      </c>
      <c r="CE34" s="204"/>
    </row>
    <row r="35" s="385" customFormat="1" ht="33" customHeight="1" spans="1:83">
      <c r="A35" s="385">
        <v>13</v>
      </c>
      <c r="C35" s="440">
        <v>44962</v>
      </c>
      <c r="D35" s="448">
        <v>20230000725</v>
      </c>
      <c r="F35" s="1026" t="s">
        <v>1299</v>
      </c>
      <c r="G35" s="142" t="s">
        <v>1300</v>
      </c>
      <c r="H35" s="1031" t="s">
        <v>1301</v>
      </c>
      <c r="I35" s="451" t="s">
        <v>1302</v>
      </c>
      <c r="J35" s="385">
        <v>146.97</v>
      </c>
      <c r="K35" s="385">
        <v>146.97</v>
      </c>
      <c r="L35" s="385">
        <v>5298.97</v>
      </c>
      <c r="M35" s="389">
        <v>778789</v>
      </c>
      <c r="N35" s="145"/>
      <c r="O35" s="390">
        <v>714485.32</v>
      </c>
      <c r="P35" s="443" t="s">
        <v>1303</v>
      </c>
      <c r="Q35" s="392">
        <v>45656</v>
      </c>
      <c r="R35" s="145"/>
      <c r="S35" s="445"/>
      <c r="T35" s="453" t="s">
        <v>1304</v>
      </c>
      <c r="U35" s="445" t="s">
        <v>1305</v>
      </c>
      <c r="V35" s="145">
        <f>2000-2000</f>
        <v>0</v>
      </c>
      <c r="W35" s="440">
        <v>44753</v>
      </c>
      <c r="X35" s="145">
        <v>102789</v>
      </c>
      <c r="Y35" s="442" t="s">
        <v>1265</v>
      </c>
      <c r="Z35" s="145">
        <v>112000</v>
      </c>
      <c r="AA35" s="442" t="s">
        <v>1288</v>
      </c>
      <c r="AB35" s="145">
        <v>65000</v>
      </c>
      <c r="AC35" s="385" t="s">
        <v>1306</v>
      </c>
      <c r="AD35" s="145">
        <v>499000</v>
      </c>
      <c r="AE35" s="445" t="s">
        <v>810</v>
      </c>
      <c r="AH35" s="145">
        <f t="shared" ref="AH35:AH40" si="5">V35+X35+Z35+AB35+AD35+AF35</f>
        <v>778789</v>
      </c>
      <c r="AK35" s="390">
        <f t="shared" si="3"/>
        <v>0</v>
      </c>
      <c r="AL35" s="385">
        <v>13139737559</v>
      </c>
      <c r="AN35" s="446"/>
      <c r="AO35" s="446"/>
      <c r="AP35" s="446"/>
      <c r="AQ35" s="395">
        <f>0.6%+0.1%</f>
        <v>0.007</v>
      </c>
      <c r="AR35" s="447">
        <f t="shared" si="2"/>
        <v>778789</v>
      </c>
      <c r="AS35" s="145">
        <f>100+100</f>
        <v>200</v>
      </c>
      <c r="AT35" s="145"/>
      <c r="AU35" s="145"/>
      <c r="AV35" s="145"/>
      <c r="AW35" s="145"/>
      <c r="AX35" s="145"/>
      <c r="AY35" s="449"/>
      <c r="AZ35" s="457">
        <v>167789</v>
      </c>
      <c r="BA35" s="145">
        <v>611000</v>
      </c>
      <c r="BB35" s="145"/>
      <c r="BC35" s="145"/>
      <c r="BD35" s="145"/>
      <c r="BE35" s="145"/>
      <c r="BX35" s="459"/>
      <c r="BZ35" s="385" t="s">
        <v>260</v>
      </c>
      <c r="CA35" s="385" t="s">
        <v>271</v>
      </c>
      <c r="CB35" s="385" t="s">
        <v>261</v>
      </c>
      <c r="CE35" s="204"/>
    </row>
    <row r="36" s="385" customFormat="1" customHeight="1" spans="1:83">
      <c r="A36" s="385">
        <v>14</v>
      </c>
      <c r="C36" s="440">
        <v>44932</v>
      </c>
      <c r="D36" s="448">
        <v>20230000142</v>
      </c>
      <c r="F36" s="1026" t="s">
        <v>1307</v>
      </c>
      <c r="G36" s="142" t="s">
        <v>1308</v>
      </c>
      <c r="H36" s="1031" t="s">
        <v>1309</v>
      </c>
      <c r="I36" s="441" t="s">
        <v>1310</v>
      </c>
      <c r="J36" s="385">
        <v>137.77</v>
      </c>
      <c r="K36" s="385">
        <v>137.77</v>
      </c>
      <c r="L36" s="385">
        <v>5310.96</v>
      </c>
      <c r="M36" s="389">
        <v>731691</v>
      </c>
      <c r="N36" s="145"/>
      <c r="O36" s="390">
        <v>671276.15</v>
      </c>
      <c r="P36" s="443" t="s">
        <v>1311</v>
      </c>
      <c r="Q36" s="392">
        <v>45656</v>
      </c>
      <c r="R36" s="145"/>
      <c r="S36" s="393"/>
      <c r="T36" s="453" t="s">
        <v>1312</v>
      </c>
      <c r="U36" s="445" t="s">
        <v>1313</v>
      </c>
      <c r="V36" s="145">
        <f>2000</f>
        <v>2000</v>
      </c>
      <c r="W36" s="440">
        <v>44760</v>
      </c>
      <c r="X36" s="145">
        <v>18000</v>
      </c>
      <c r="Y36" s="442" t="s">
        <v>1280</v>
      </c>
      <c r="Z36" s="145">
        <v>163691</v>
      </c>
      <c r="AA36" s="442" t="s">
        <v>1314</v>
      </c>
      <c r="AB36" s="145">
        <v>348000</v>
      </c>
      <c r="AC36" s="385" t="s">
        <v>1315</v>
      </c>
      <c r="AD36" s="385">
        <v>200000</v>
      </c>
      <c r="AE36" s="385" t="s">
        <v>1316</v>
      </c>
      <c r="AH36" s="145">
        <f t="shared" si="5"/>
        <v>731691</v>
      </c>
      <c r="AK36" s="390">
        <f t="shared" si="3"/>
        <v>0</v>
      </c>
      <c r="AL36" s="385">
        <v>13369967520</v>
      </c>
      <c r="AN36" s="446"/>
      <c r="AO36" s="446"/>
      <c r="AP36" s="446"/>
      <c r="AQ36" s="395">
        <f t="shared" ref="AQ36:AQ38" si="6">0.6%+0.04%+0.1%</f>
        <v>0.0074</v>
      </c>
      <c r="AR36" s="447">
        <f t="shared" si="2"/>
        <v>731691</v>
      </c>
      <c r="AS36" s="145"/>
      <c r="AT36" s="145">
        <v>100</v>
      </c>
      <c r="AU36" s="145">
        <v>183691</v>
      </c>
      <c r="AV36" s="145">
        <v>348000</v>
      </c>
      <c r="AW36" s="145"/>
      <c r="AX36" s="145"/>
      <c r="AY36" s="449"/>
      <c r="AZ36" s="460">
        <v>200000</v>
      </c>
      <c r="BA36" s="145"/>
      <c r="BB36" s="145"/>
      <c r="BC36" s="145"/>
      <c r="BD36" s="145"/>
      <c r="BE36" s="145"/>
      <c r="BX36" s="459"/>
      <c r="BZ36" s="385" t="s">
        <v>260</v>
      </c>
      <c r="CA36" s="385" t="s">
        <v>271</v>
      </c>
      <c r="CB36" s="385" t="s">
        <v>261</v>
      </c>
      <c r="CE36" s="204"/>
    </row>
    <row r="37" s="385" customFormat="1" customHeight="1" spans="1:83">
      <c r="A37" s="385">
        <v>15</v>
      </c>
      <c r="C37" s="440">
        <v>44992</v>
      </c>
      <c r="D37" s="448">
        <v>20230000953</v>
      </c>
      <c r="F37" s="1026" t="s">
        <v>1317</v>
      </c>
      <c r="G37" s="385" t="s">
        <v>1318</v>
      </c>
      <c r="H37" s="1026" t="s">
        <v>1319</v>
      </c>
      <c r="I37" s="441" t="s">
        <v>1320</v>
      </c>
      <c r="J37" s="385">
        <v>146.97</v>
      </c>
      <c r="K37" s="385">
        <v>146.97</v>
      </c>
      <c r="L37" s="385">
        <v>5323.96</v>
      </c>
      <c r="M37" s="389">
        <v>782463</v>
      </c>
      <c r="N37" s="145"/>
      <c r="O37" s="390">
        <v>717855.96</v>
      </c>
      <c r="P37" s="443" t="s">
        <v>1321</v>
      </c>
      <c r="Q37" s="392">
        <v>45656</v>
      </c>
      <c r="R37" s="145"/>
      <c r="T37" s="461" t="s">
        <v>1322</v>
      </c>
      <c r="U37" s="385" t="s">
        <v>1323</v>
      </c>
      <c r="V37" s="145">
        <v>77463</v>
      </c>
      <c r="W37" s="442" t="s">
        <v>1324</v>
      </c>
      <c r="X37" s="145">
        <v>80000</v>
      </c>
      <c r="Y37" s="442" t="s">
        <v>1315</v>
      </c>
      <c r="Z37" s="145">
        <v>12000</v>
      </c>
      <c r="AA37" s="385" t="s">
        <v>1325</v>
      </c>
      <c r="AB37" s="145">
        <v>613000</v>
      </c>
      <c r="AC37" s="385" t="s">
        <v>313</v>
      </c>
      <c r="AH37" s="145">
        <f t="shared" si="5"/>
        <v>782463</v>
      </c>
      <c r="AK37" s="390">
        <f t="shared" si="3"/>
        <v>0</v>
      </c>
      <c r="AL37" s="385">
        <v>13999627205</v>
      </c>
      <c r="AN37" s="446"/>
      <c r="AO37" s="446"/>
      <c r="AP37" s="446"/>
      <c r="AQ37" s="395">
        <f>0.6%+0.04%+0.1%+0.04%</f>
        <v>0.0078</v>
      </c>
      <c r="AR37" s="447">
        <f t="shared" si="2"/>
        <v>782463</v>
      </c>
      <c r="AS37" s="145"/>
      <c r="AT37" s="145"/>
      <c r="AU37" s="145"/>
      <c r="AV37" s="145">
        <v>157463</v>
      </c>
      <c r="AW37" s="145"/>
      <c r="AX37" s="145"/>
      <c r="AY37" s="449"/>
      <c r="AZ37" s="450"/>
      <c r="BA37" s="145"/>
      <c r="BB37" s="145"/>
      <c r="BC37" s="145">
        <v>625000</v>
      </c>
      <c r="BD37" s="145"/>
      <c r="BE37" s="145"/>
      <c r="BX37" s="459"/>
      <c r="BZ37" s="385" t="s">
        <v>260</v>
      </c>
      <c r="CA37" s="385" t="s">
        <v>271</v>
      </c>
      <c r="CB37" s="385" t="s">
        <v>261</v>
      </c>
      <c r="CE37" s="204"/>
    </row>
    <row r="38" s="385" customFormat="1" customHeight="1" spans="1:83">
      <c r="A38" s="385">
        <v>16</v>
      </c>
      <c r="C38" s="440">
        <v>44967</v>
      </c>
      <c r="D38" s="448">
        <v>20230001308</v>
      </c>
      <c r="F38" s="385" t="s">
        <v>1326</v>
      </c>
      <c r="G38" s="142" t="s">
        <v>1327</v>
      </c>
      <c r="H38" s="1031" t="s">
        <v>1328</v>
      </c>
      <c r="I38" s="441" t="s">
        <v>1329</v>
      </c>
      <c r="J38" s="385">
        <v>137.77</v>
      </c>
      <c r="K38" s="385">
        <v>137.77</v>
      </c>
      <c r="L38" s="385">
        <v>5335.96</v>
      </c>
      <c r="M38" s="389">
        <v>735136</v>
      </c>
      <c r="N38" s="145"/>
      <c r="O38" s="390">
        <v>674436.7</v>
      </c>
      <c r="P38" s="443" t="s">
        <v>1330</v>
      </c>
      <c r="Q38" s="392">
        <v>45652</v>
      </c>
      <c r="R38" s="145"/>
      <c r="S38" s="393"/>
      <c r="T38" s="394" t="s">
        <v>1331</v>
      </c>
      <c r="U38" s="393" t="s">
        <v>1332</v>
      </c>
      <c r="V38" s="145">
        <v>192136</v>
      </c>
      <c r="W38" s="442" t="s">
        <v>1228</v>
      </c>
      <c r="X38" s="145">
        <v>43000</v>
      </c>
      <c r="Y38" s="385" t="s">
        <v>1314</v>
      </c>
      <c r="Z38" s="145">
        <v>500000</v>
      </c>
      <c r="AA38" s="442" t="s">
        <v>1333</v>
      </c>
      <c r="AB38" s="145"/>
      <c r="AH38" s="145">
        <f t="shared" si="5"/>
        <v>735136</v>
      </c>
      <c r="AK38" s="390">
        <f t="shared" si="3"/>
        <v>0</v>
      </c>
      <c r="AL38" s="385">
        <v>18794759920</v>
      </c>
      <c r="AN38" s="446"/>
      <c r="AO38" s="446"/>
      <c r="AP38" s="446"/>
      <c r="AQ38" s="395">
        <f t="shared" si="6"/>
        <v>0.0074</v>
      </c>
      <c r="AR38" s="447">
        <f t="shared" si="2"/>
        <v>735136</v>
      </c>
      <c r="AS38" s="145">
        <v>100</v>
      </c>
      <c r="AT38" s="145">
        <v>100</v>
      </c>
      <c r="AU38" s="145"/>
      <c r="AV38" s="145">
        <v>235136</v>
      </c>
      <c r="AW38" s="145">
        <v>500000</v>
      </c>
      <c r="AX38" s="145"/>
      <c r="AY38" s="449"/>
      <c r="AZ38" s="450"/>
      <c r="BA38" s="145"/>
      <c r="BB38" s="145"/>
      <c r="BC38" s="145"/>
      <c r="BD38" s="145"/>
      <c r="BE38" s="145"/>
      <c r="BX38" s="459"/>
      <c r="BZ38" s="385" t="s">
        <v>260</v>
      </c>
      <c r="CA38" s="385" t="s">
        <v>271</v>
      </c>
      <c r="CB38" s="385" t="s">
        <v>261</v>
      </c>
      <c r="CE38" s="204"/>
    </row>
    <row r="39" s="385" customFormat="1" ht="14.25" spans="1:83">
      <c r="A39" s="385">
        <v>17</v>
      </c>
      <c r="C39" s="440">
        <v>45026</v>
      </c>
      <c r="D39" s="448">
        <v>20230003229</v>
      </c>
      <c r="F39" s="1026" t="s">
        <v>1334</v>
      </c>
      <c r="G39" s="385" t="s">
        <v>792</v>
      </c>
      <c r="H39" s="1026" t="s">
        <v>1335</v>
      </c>
      <c r="I39" s="451" t="s">
        <v>1336</v>
      </c>
      <c r="J39" s="385">
        <v>146.97</v>
      </c>
      <c r="K39" s="385">
        <v>146.97</v>
      </c>
      <c r="L39" s="385">
        <v>5368.96</v>
      </c>
      <c r="M39" s="389">
        <v>789076</v>
      </c>
      <c r="N39" s="145"/>
      <c r="O39" s="390">
        <v>723922.94</v>
      </c>
      <c r="P39" s="1032" t="s">
        <v>1337</v>
      </c>
      <c r="Q39" s="392">
        <v>45999</v>
      </c>
      <c r="R39" s="145"/>
      <c r="S39" s="393"/>
      <c r="T39" s="394" t="s">
        <v>1338</v>
      </c>
      <c r="U39" s="393" t="s">
        <v>1339</v>
      </c>
      <c r="V39" s="145">
        <v>2000</v>
      </c>
      <c r="W39" s="146" t="s">
        <v>1340</v>
      </c>
      <c r="X39" s="145">
        <v>18000</v>
      </c>
      <c r="Y39" s="442" t="s">
        <v>1280</v>
      </c>
      <c r="Z39" s="145">
        <v>239076</v>
      </c>
      <c r="AA39" s="442" t="s">
        <v>1341</v>
      </c>
      <c r="AB39" s="145">
        <v>530000</v>
      </c>
      <c r="AC39" s="393">
        <v>45999</v>
      </c>
      <c r="AH39" s="145">
        <f t="shared" si="5"/>
        <v>789076</v>
      </c>
      <c r="AK39" s="390">
        <f t="shared" si="3"/>
        <v>0</v>
      </c>
      <c r="AL39" s="385">
        <v>13899055333</v>
      </c>
      <c r="AN39" s="446"/>
      <c r="AO39" s="446"/>
      <c r="AP39" s="446"/>
      <c r="AQ39" s="395">
        <v>0.0054</v>
      </c>
      <c r="AR39" s="447">
        <f t="shared" si="2"/>
        <v>789076</v>
      </c>
      <c r="AS39" s="145">
        <f>100</f>
        <v>100</v>
      </c>
      <c r="AT39" s="145"/>
      <c r="AU39" s="145"/>
      <c r="AV39" s="145"/>
      <c r="AW39" s="145"/>
      <c r="AX39" s="145"/>
      <c r="AY39" s="449"/>
      <c r="AZ39" s="455"/>
      <c r="BA39" s="145"/>
      <c r="BB39" s="145"/>
      <c r="BC39" s="145"/>
      <c r="BD39" s="145"/>
      <c r="BE39" s="145"/>
      <c r="BT39" s="385">
        <v>789076</v>
      </c>
      <c r="BX39" s="459"/>
      <c r="BZ39" s="385" t="s">
        <v>260</v>
      </c>
      <c r="CA39" s="385" t="s">
        <v>271</v>
      </c>
      <c r="CB39" s="385" t="s">
        <v>261</v>
      </c>
      <c r="CE39" s="204"/>
    </row>
    <row r="40" s="385" customFormat="1" customHeight="1" spans="1:83">
      <c r="A40" s="385">
        <v>18</v>
      </c>
      <c r="C40" s="440">
        <v>44966</v>
      </c>
      <c r="D40" s="448">
        <v>20230001243</v>
      </c>
      <c r="F40" s="1026" t="s">
        <v>1342</v>
      </c>
      <c r="G40" s="463" t="s">
        <v>1343</v>
      </c>
      <c r="H40" s="1031" t="s">
        <v>1344</v>
      </c>
      <c r="I40" s="441" t="s">
        <v>1345</v>
      </c>
      <c r="J40" s="385">
        <v>137.77</v>
      </c>
      <c r="K40" s="385">
        <v>137.77</v>
      </c>
      <c r="L40" s="385">
        <v>5380.96</v>
      </c>
      <c r="M40" s="389">
        <v>741335</v>
      </c>
      <c r="N40" s="145"/>
      <c r="O40" s="390">
        <v>680123.85</v>
      </c>
      <c r="P40" s="443" t="s">
        <v>1346</v>
      </c>
      <c r="Q40" s="392">
        <v>45656</v>
      </c>
      <c r="R40" s="145"/>
      <c r="S40" s="445"/>
      <c r="T40" s="453" t="s">
        <v>1347</v>
      </c>
      <c r="U40" s="445" t="s">
        <v>1348</v>
      </c>
      <c r="V40" s="145">
        <v>242335</v>
      </c>
      <c r="W40" s="442" t="s">
        <v>1259</v>
      </c>
      <c r="X40" s="145">
        <v>499000</v>
      </c>
      <c r="Y40" s="442" t="s">
        <v>1349</v>
      </c>
      <c r="Z40" s="145"/>
      <c r="AA40" s="442"/>
      <c r="AB40" s="145"/>
      <c r="AH40" s="145">
        <f t="shared" si="5"/>
        <v>741335</v>
      </c>
      <c r="AK40" s="390">
        <f t="shared" si="3"/>
        <v>0</v>
      </c>
      <c r="AL40" s="385">
        <v>13565026218</v>
      </c>
      <c r="AN40" s="446"/>
      <c r="AO40" s="446"/>
      <c r="AP40" s="446"/>
      <c r="AQ40" s="395">
        <f>0.6%+0.1%</f>
        <v>0.007</v>
      </c>
      <c r="AR40" s="447">
        <f t="shared" si="2"/>
        <v>741335</v>
      </c>
      <c r="AS40" s="145"/>
      <c r="AT40" s="145">
        <f>100+100</f>
        <v>200</v>
      </c>
      <c r="AU40" s="145"/>
      <c r="AV40" s="145">
        <v>242335</v>
      </c>
      <c r="AW40" s="145"/>
      <c r="AX40" s="145"/>
      <c r="AY40" s="449">
        <v>499000</v>
      </c>
      <c r="AZ40" s="450"/>
      <c r="BA40" s="145"/>
      <c r="BB40" s="145"/>
      <c r="BC40" s="145"/>
      <c r="BD40" s="145"/>
      <c r="BE40" s="145"/>
      <c r="BX40" s="459"/>
      <c r="BZ40" s="385" t="s">
        <v>260</v>
      </c>
      <c r="CA40" s="385" t="s">
        <v>271</v>
      </c>
      <c r="CB40" s="385" t="s">
        <v>261</v>
      </c>
      <c r="CE40" s="204"/>
    </row>
    <row r="41" s="385" customFormat="1" customHeight="1" spans="1:83">
      <c r="A41" s="385">
        <v>19</v>
      </c>
      <c r="C41" s="440">
        <v>44966</v>
      </c>
      <c r="D41" s="448">
        <v>20230001161</v>
      </c>
      <c r="F41" s="1026" t="s">
        <v>1350</v>
      </c>
      <c r="G41" s="142" t="s">
        <v>1351</v>
      </c>
      <c r="H41" s="1031" t="s">
        <v>1352</v>
      </c>
      <c r="I41" s="451" t="s">
        <v>1353</v>
      </c>
      <c r="J41" s="385">
        <v>146.97</v>
      </c>
      <c r="K41" s="385">
        <v>146.97</v>
      </c>
      <c r="L41" s="385">
        <v>5388.96</v>
      </c>
      <c r="M41" s="389">
        <v>792016</v>
      </c>
      <c r="N41" s="145"/>
      <c r="O41" s="390">
        <v>726620.18</v>
      </c>
      <c r="P41" s="443" t="s">
        <v>1354</v>
      </c>
      <c r="Q41" s="392">
        <v>45656</v>
      </c>
      <c r="R41" s="145"/>
      <c r="S41" s="445"/>
      <c r="T41" s="453" t="s">
        <v>1355</v>
      </c>
      <c r="U41" s="445" t="s">
        <v>1356</v>
      </c>
      <c r="V41" s="385">
        <v>542016</v>
      </c>
      <c r="W41" s="442" t="s">
        <v>1259</v>
      </c>
      <c r="X41" s="145">
        <v>250000</v>
      </c>
      <c r="Y41" s="445" t="s">
        <v>1325</v>
      </c>
      <c r="Z41" s="145"/>
      <c r="AA41" s="442"/>
      <c r="AB41" s="145"/>
      <c r="AH41" s="145">
        <f t="shared" ref="AH41:AH46" si="7">V41+X41+Z41+AB41+AD41+AF41</f>
        <v>792016</v>
      </c>
      <c r="AK41" s="390">
        <f t="shared" si="3"/>
        <v>0</v>
      </c>
      <c r="AL41" s="385">
        <v>15699251659</v>
      </c>
      <c r="AN41" s="446"/>
      <c r="AO41" s="446"/>
      <c r="AP41" s="446"/>
      <c r="AQ41" s="395">
        <f>0.4%+0.04%+0.1%</f>
        <v>0.0054</v>
      </c>
      <c r="AR41" s="447">
        <f t="shared" si="2"/>
        <v>792016</v>
      </c>
      <c r="AS41" s="145">
        <f>100</f>
        <v>100</v>
      </c>
      <c r="AT41" s="145"/>
      <c r="AU41" s="145"/>
      <c r="AV41" s="145">
        <v>542016</v>
      </c>
      <c r="AW41" s="145"/>
      <c r="AX41" s="145"/>
      <c r="AY41" s="449"/>
      <c r="AZ41" s="450"/>
      <c r="BA41" s="145">
        <v>250000</v>
      </c>
      <c r="BB41" s="145"/>
      <c r="BC41" s="145"/>
      <c r="BD41" s="145"/>
      <c r="BE41" s="145"/>
      <c r="BX41" s="459"/>
      <c r="BZ41" s="385" t="s">
        <v>260</v>
      </c>
      <c r="CA41" s="385" t="s">
        <v>271</v>
      </c>
      <c r="CB41" s="385" t="s">
        <v>261</v>
      </c>
      <c r="CE41" s="204"/>
    </row>
    <row r="42" s="385" customFormat="1" customHeight="1" spans="1:83">
      <c r="A42" s="385">
        <v>20</v>
      </c>
      <c r="C42" s="440">
        <v>44933</v>
      </c>
      <c r="D42" s="448">
        <v>20230000170</v>
      </c>
      <c r="F42" s="1026" t="s">
        <v>1357</v>
      </c>
      <c r="G42" s="142" t="s">
        <v>921</v>
      </c>
      <c r="I42" s="441" t="s">
        <v>1358</v>
      </c>
      <c r="J42" s="385">
        <v>137.77</v>
      </c>
      <c r="K42" s="385">
        <v>137.77</v>
      </c>
      <c r="L42" s="385">
        <v>5351</v>
      </c>
      <c r="M42" s="464">
        <v>737202</v>
      </c>
      <c r="N42" s="465"/>
      <c r="O42" s="390">
        <v>676332.11</v>
      </c>
      <c r="P42" s="443" t="s">
        <v>1359</v>
      </c>
      <c r="Q42" s="392">
        <v>45656</v>
      </c>
      <c r="R42" s="145"/>
      <c r="S42" s="393"/>
      <c r="T42" s="394" t="s">
        <v>1360</v>
      </c>
      <c r="U42" s="393" t="s">
        <v>1361</v>
      </c>
      <c r="V42" s="145">
        <v>2000</v>
      </c>
      <c r="W42" s="146">
        <v>44762</v>
      </c>
      <c r="X42" s="145">
        <v>18000</v>
      </c>
      <c r="Y42" s="466" t="s">
        <v>1280</v>
      </c>
      <c r="Z42" s="145">
        <v>73202</v>
      </c>
      <c r="AA42" s="385" t="s">
        <v>1362</v>
      </c>
      <c r="AB42" s="145">
        <v>60000</v>
      </c>
      <c r="AC42" s="385" t="s">
        <v>1363</v>
      </c>
      <c r="AD42" s="385">
        <v>85000</v>
      </c>
      <c r="AE42" s="385" t="s">
        <v>1000</v>
      </c>
      <c r="AF42" s="385">
        <v>499000</v>
      </c>
      <c r="AG42" s="385" t="s">
        <v>1364</v>
      </c>
      <c r="AH42" s="145">
        <f t="shared" si="7"/>
        <v>737202</v>
      </c>
      <c r="AK42" s="390">
        <f t="shared" si="3"/>
        <v>0</v>
      </c>
      <c r="AL42" s="456" t="s">
        <v>1365</v>
      </c>
      <c r="AM42" s="456"/>
      <c r="AN42" s="467"/>
      <c r="AO42" s="467"/>
      <c r="AP42" s="467"/>
      <c r="AQ42" s="395">
        <f>0.6%+0.04%+0.1%</f>
        <v>0.0074</v>
      </c>
      <c r="AR42" s="447">
        <f t="shared" si="2"/>
        <v>737202</v>
      </c>
      <c r="AS42" s="145"/>
      <c r="AT42" s="145"/>
      <c r="AU42" s="145"/>
      <c r="AV42" s="145"/>
      <c r="AW42" s="145">
        <v>238202</v>
      </c>
      <c r="AX42" s="145">
        <v>499000</v>
      </c>
      <c r="AY42" s="449"/>
      <c r="AZ42" s="450"/>
      <c r="BA42" s="145"/>
      <c r="BB42" s="145"/>
      <c r="BC42" s="145"/>
      <c r="BD42" s="145"/>
      <c r="BE42" s="145"/>
      <c r="BX42" s="459"/>
      <c r="BZ42" s="385" t="s">
        <v>260</v>
      </c>
      <c r="CA42" s="385" t="s">
        <v>271</v>
      </c>
      <c r="CB42" s="385" t="s">
        <v>261</v>
      </c>
      <c r="CE42" s="204"/>
    </row>
    <row r="43" s="385" customFormat="1" ht="60" customHeight="1" spans="1:83">
      <c r="A43" s="385">
        <v>21</v>
      </c>
      <c r="C43" s="440">
        <v>45094</v>
      </c>
      <c r="D43" s="448">
        <v>20230005171</v>
      </c>
      <c r="F43" s="1026" t="s">
        <v>1366</v>
      </c>
      <c r="G43" s="142" t="s">
        <v>1367</v>
      </c>
      <c r="H43" s="1031" t="s">
        <v>1368</v>
      </c>
      <c r="I43" s="451" t="s">
        <v>1369</v>
      </c>
      <c r="J43" s="385">
        <v>146.97</v>
      </c>
      <c r="K43" s="385">
        <v>146.97</v>
      </c>
      <c r="L43" s="385">
        <v>6443.5</v>
      </c>
      <c r="M43" s="389">
        <v>947000</v>
      </c>
      <c r="N43" s="145"/>
      <c r="O43" s="390">
        <v>868807.34</v>
      </c>
      <c r="P43" s="443" t="s">
        <v>1370</v>
      </c>
      <c r="Q43" s="392">
        <v>45656</v>
      </c>
      <c r="R43" s="145"/>
      <c r="S43" s="445"/>
      <c r="T43" s="453" t="s">
        <v>1371</v>
      </c>
      <c r="U43" s="445" t="s">
        <v>1372</v>
      </c>
      <c r="V43" s="145">
        <f>20000+2000-2000+2000-2000</f>
        <v>20000</v>
      </c>
      <c r="W43" s="440" t="s">
        <v>1373</v>
      </c>
      <c r="X43" s="145">
        <v>80000</v>
      </c>
      <c r="Y43" s="442" t="s">
        <v>1374</v>
      </c>
      <c r="Z43" s="145">
        <v>90000</v>
      </c>
      <c r="AA43" s="442" t="s">
        <v>523</v>
      </c>
      <c r="AB43" s="145">
        <v>47000</v>
      </c>
      <c r="AC43" s="445" t="s">
        <v>918</v>
      </c>
      <c r="AD43" s="145">
        <v>710000</v>
      </c>
      <c r="AE43" s="445" t="s">
        <v>847</v>
      </c>
      <c r="AH43" s="145">
        <f t="shared" si="7"/>
        <v>947000</v>
      </c>
      <c r="AK43" s="390">
        <f t="shared" si="3"/>
        <v>0</v>
      </c>
      <c r="AL43" s="385">
        <v>15739869730</v>
      </c>
      <c r="AN43" s="446"/>
      <c r="AO43" s="446"/>
      <c r="AP43" s="446"/>
      <c r="AQ43" s="395">
        <f>0.4%+0.04%+0.1%</f>
        <v>0.0054</v>
      </c>
      <c r="AR43" s="447">
        <f t="shared" si="2"/>
        <v>947000</v>
      </c>
      <c r="AS43" s="145">
        <f>100+100</f>
        <v>200</v>
      </c>
      <c r="AT43" s="145">
        <f>100</f>
        <v>100</v>
      </c>
      <c r="AU43" s="145"/>
      <c r="AV43" s="145"/>
      <c r="AW43" s="145"/>
      <c r="AX43" s="145"/>
      <c r="AY43" s="449"/>
      <c r="AZ43" s="457">
        <v>190000</v>
      </c>
      <c r="BA43" s="145"/>
      <c r="BB43" s="145"/>
      <c r="BC43" s="145"/>
      <c r="BD43" s="145">
        <v>757000</v>
      </c>
      <c r="BE43" s="145"/>
      <c r="BX43" s="459"/>
      <c r="BZ43" s="385" t="s">
        <v>260</v>
      </c>
      <c r="CA43" s="385" t="s">
        <v>271</v>
      </c>
      <c r="CB43" s="385" t="s">
        <v>261</v>
      </c>
      <c r="CE43" s="204"/>
    </row>
    <row r="44" s="385" customFormat="1" ht="58" customHeight="1" spans="1:83">
      <c r="A44" s="385">
        <v>22</v>
      </c>
      <c r="C44" s="440">
        <v>44967</v>
      </c>
      <c r="D44" s="448">
        <v>20230001343</v>
      </c>
      <c r="F44" s="1026" t="s">
        <v>1375</v>
      </c>
      <c r="G44" s="142" t="s">
        <v>1181</v>
      </c>
      <c r="H44" s="1031" t="s">
        <v>1376</v>
      </c>
      <c r="I44" s="441" t="s">
        <v>1377</v>
      </c>
      <c r="J44" s="385">
        <v>137.77</v>
      </c>
      <c r="K44" s="385">
        <v>137.77</v>
      </c>
      <c r="L44" s="385">
        <v>6520</v>
      </c>
      <c r="M44" s="389">
        <v>898260</v>
      </c>
      <c r="N44" s="145"/>
      <c r="O44" s="390">
        <v>824091.74</v>
      </c>
      <c r="P44" s="443" t="s">
        <v>1378</v>
      </c>
      <c r="Q44" s="392">
        <v>45656</v>
      </c>
      <c r="R44" s="145"/>
      <c r="S44" s="445"/>
      <c r="T44" s="445" t="s">
        <v>1379</v>
      </c>
      <c r="U44" s="445" t="s">
        <v>1380</v>
      </c>
      <c r="V44" s="385">
        <v>328260</v>
      </c>
      <c r="W44" s="442" t="s">
        <v>1228</v>
      </c>
      <c r="X44" s="145">
        <v>370000</v>
      </c>
      <c r="Y44" s="442" t="s">
        <v>1349</v>
      </c>
      <c r="Z44" s="145">
        <v>200000</v>
      </c>
      <c r="AA44" s="445" t="s">
        <v>1381</v>
      </c>
      <c r="AB44" s="145"/>
      <c r="AH44" s="145">
        <f t="shared" si="7"/>
        <v>898260</v>
      </c>
      <c r="AK44" s="390">
        <f t="shared" si="3"/>
        <v>0</v>
      </c>
      <c r="AL44" s="456" t="s">
        <v>1382</v>
      </c>
      <c r="AN44" s="446"/>
      <c r="AO44" s="446"/>
      <c r="AP44" s="446"/>
      <c r="AQ44" s="395">
        <f>0.4%+0.04%+0.1%+0.04%</f>
        <v>0.0058</v>
      </c>
      <c r="AR44" s="447">
        <f t="shared" si="2"/>
        <v>898260</v>
      </c>
      <c r="AS44" s="145"/>
      <c r="AT44" s="145">
        <f>100+100</f>
        <v>200</v>
      </c>
      <c r="AU44" s="145"/>
      <c r="AV44" s="145"/>
      <c r="AW44" s="145"/>
      <c r="AX44" s="145"/>
      <c r="AY44" s="449">
        <v>698260</v>
      </c>
      <c r="AZ44" s="450"/>
      <c r="BA44" s="145"/>
      <c r="BB44" s="145"/>
      <c r="BC44" s="145"/>
      <c r="BD44" s="145"/>
      <c r="BE44" s="145">
        <v>200000</v>
      </c>
      <c r="BX44" s="459"/>
      <c r="BZ44" s="385" t="s">
        <v>260</v>
      </c>
      <c r="CA44" s="385" t="s">
        <v>271</v>
      </c>
      <c r="CB44" s="385" t="s">
        <v>261</v>
      </c>
      <c r="CE44" s="204"/>
    </row>
    <row r="45" s="385" customFormat="1" customHeight="1" spans="1:83">
      <c r="A45" s="385">
        <v>23</v>
      </c>
      <c r="C45" s="440">
        <v>45204</v>
      </c>
      <c r="D45" s="448">
        <v>20230008632</v>
      </c>
      <c r="F45" s="1026" t="s">
        <v>1383</v>
      </c>
      <c r="G45" s="142" t="s">
        <v>1384</v>
      </c>
      <c r="H45" s="1031" t="s">
        <v>1385</v>
      </c>
      <c r="I45" s="451" t="s">
        <v>1386</v>
      </c>
      <c r="J45" s="385">
        <v>140.29</v>
      </c>
      <c r="K45" s="385">
        <v>140.29</v>
      </c>
      <c r="L45" s="385">
        <v>7860</v>
      </c>
      <c r="M45" s="389">
        <v>1102679</v>
      </c>
      <c r="N45" s="145">
        <v>7855</v>
      </c>
      <c r="O45" s="390">
        <v>1011632.11</v>
      </c>
      <c r="P45" s="443" t="s">
        <v>1387</v>
      </c>
      <c r="Q45" s="392">
        <v>45911</v>
      </c>
      <c r="R45" s="145"/>
      <c r="T45" s="385" t="s">
        <v>1384</v>
      </c>
      <c r="U45" s="385" t="s">
        <v>267</v>
      </c>
      <c r="V45" s="145">
        <v>20000</v>
      </c>
      <c r="W45" s="385" t="s">
        <v>1388</v>
      </c>
      <c r="X45" s="145">
        <v>282679</v>
      </c>
      <c r="Y45" s="442" t="s">
        <v>1389</v>
      </c>
      <c r="Z45" s="145">
        <v>800000</v>
      </c>
      <c r="AA45" s="385" t="s">
        <v>1390</v>
      </c>
      <c r="AB45" s="145"/>
      <c r="AH45" s="145">
        <f t="shared" si="7"/>
        <v>1102679</v>
      </c>
      <c r="AK45" s="390">
        <f t="shared" si="3"/>
        <v>0</v>
      </c>
      <c r="AL45" s="385">
        <v>18690985916</v>
      </c>
      <c r="AN45" s="446"/>
      <c r="AO45" s="446"/>
      <c r="AP45" s="446"/>
      <c r="AQ45" s="395">
        <f>0.6%+0.1%+0.05%</f>
        <v>0.0075</v>
      </c>
      <c r="AR45" s="447">
        <f t="shared" si="2"/>
        <v>1102679</v>
      </c>
      <c r="AS45" s="145"/>
      <c r="AT45" s="145"/>
      <c r="AU45" s="145"/>
      <c r="AV45" s="145"/>
      <c r="AW45" s="145"/>
      <c r="AX45" s="145"/>
      <c r="AY45" s="223"/>
      <c r="AZ45" s="452"/>
      <c r="BA45" s="145"/>
      <c r="BB45" s="145"/>
      <c r="BC45" s="145"/>
      <c r="BD45" s="145">
        <v>1102679</v>
      </c>
      <c r="BE45" s="145"/>
      <c r="BX45" s="459"/>
      <c r="BZ45" s="385" t="s">
        <v>260</v>
      </c>
      <c r="CA45" s="385" t="s">
        <v>271</v>
      </c>
      <c r="CB45" s="385" t="s">
        <v>261</v>
      </c>
      <c r="CE45" s="204"/>
    </row>
    <row r="46" s="385" customFormat="1" ht="42" customHeight="1" spans="1:83">
      <c r="A46" s="385">
        <v>24</v>
      </c>
      <c r="C46" s="440">
        <v>44964</v>
      </c>
      <c r="D46" s="448">
        <v>20230000901</v>
      </c>
      <c r="F46" s="1026" t="s">
        <v>1391</v>
      </c>
      <c r="G46" s="385" t="s">
        <v>1392</v>
      </c>
      <c r="H46" s="1026" t="s">
        <v>1393</v>
      </c>
      <c r="I46" s="441" t="s">
        <v>1394</v>
      </c>
      <c r="J46" s="385">
        <v>140.89</v>
      </c>
      <c r="K46" s="385">
        <v>140.89</v>
      </c>
      <c r="L46" s="385">
        <v>7835</v>
      </c>
      <c r="M46" s="389">
        <v>1103873</v>
      </c>
      <c r="N46" s="145"/>
      <c r="O46" s="390">
        <v>1012727.52</v>
      </c>
      <c r="P46" s="443" t="s">
        <v>1395</v>
      </c>
      <c r="Q46" s="392">
        <v>45656</v>
      </c>
      <c r="R46" s="145"/>
      <c r="S46" s="393"/>
      <c r="T46" s="453" t="s">
        <v>1396</v>
      </c>
      <c r="U46" s="445" t="s">
        <v>1397</v>
      </c>
      <c r="V46" s="145">
        <v>28873</v>
      </c>
      <c r="W46" s="442" t="s">
        <v>1324</v>
      </c>
      <c r="X46" s="385">
        <v>375000</v>
      </c>
      <c r="Y46" s="442" t="s">
        <v>1314</v>
      </c>
      <c r="Z46" s="145">
        <v>700000</v>
      </c>
      <c r="AA46" s="393" t="s">
        <v>1398</v>
      </c>
      <c r="AB46" s="145"/>
      <c r="AH46" s="145">
        <f t="shared" si="7"/>
        <v>1103873</v>
      </c>
      <c r="AK46" s="390">
        <f t="shared" si="3"/>
        <v>0</v>
      </c>
      <c r="AL46" s="385">
        <v>13999007117</v>
      </c>
      <c r="AN46" s="446"/>
      <c r="AO46" s="446"/>
      <c r="AP46" s="446"/>
      <c r="AQ46" s="395">
        <f>0.4%+0.04%+0.1%+0.04%</f>
        <v>0.0058</v>
      </c>
      <c r="AR46" s="447">
        <f t="shared" si="2"/>
        <v>1103873</v>
      </c>
      <c r="AS46" s="145"/>
      <c r="AT46" s="145">
        <v>100</v>
      </c>
      <c r="AU46" s="145"/>
      <c r="AV46" s="145">
        <v>403873</v>
      </c>
      <c r="AW46" s="145"/>
      <c r="AX46" s="145"/>
      <c r="AY46" s="449"/>
      <c r="AZ46" s="450"/>
      <c r="BA46" s="145"/>
      <c r="BB46" s="145"/>
      <c r="BC46" s="145">
        <v>700000</v>
      </c>
      <c r="BD46" s="145"/>
      <c r="BE46" s="145"/>
      <c r="BX46" s="459"/>
      <c r="BZ46" s="385" t="s">
        <v>260</v>
      </c>
      <c r="CA46" s="385" t="s">
        <v>271</v>
      </c>
      <c r="CB46" s="385" t="s">
        <v>261</v>
      </c>
      <c r="CE46" s="204"/>
    </row>
    <row r="47" s="385" customFormat="1" customHeight="1" spans="1:83">
      <c r="A47" s="385">
        <v>25</v>
      </c>
      <c r="C47" s="440">
        <v>45137</v>
      </c>
      <c r="D47" s="448">
        <v>20230006450</v>
      </c>
      <c r="F47" s="1026" t="s">
        <v>1399</v>
      </c>
      <c r="G47" s="385" t="s">
        <v>1400</v>
      </c>
      <c r="H47" s="1026" t="s">
        <v>1401</v>
      </c>
      <c r="I47" s="451" t="s">
        <v>1402</v>
      </c>
      <c r="J47" s="385">
        <v>137.77</v>
      </c>
      <c r="K47" s="385">
        <v>137.77</v>
      </c>
      <c r="L47" s="385">
        <v>5618</v>
      </c>
      <c r="M47" s="389">
        <v>774000</v>
      </c>
      <c r="N47" s="145">
        <v>5266.89</v>
      </c>
      <c r="O47" s="390">
        <v>710091.74</v>
      </c>
      <c r="P47" s="443" t="s">
        <v>1403</v>
      </c>
      <c r="Q47" s="392">
        <v>45656</v>
      </c>
      <c r="R47" s="145"/>
      <c r="S47" s="393"/>
      <c r="T47" s="393"/>
      <c r="U47" s="393" t="s">
        <v>546</v>
      </c>
      <c r="V47" s="145">
        <v>20000</v>
      </c>
      <c r="W47" s="393" t="s">
        <v>1027</v>
      </c>
      <c r="X47" s="145">
        <f>85000+50000</f>
        <v>135000</v>
      </c>
      <c r="Y47" s="442" t="s">
        <v>826</v>
      </c>
      <c r="Z47" s="145">
        <v>619000</v>
      </c>
      <c r="AA47" s="393" t="s">
        <v>1404</v>
      </c>
      <c r="AB47" s="145"/>
      <c r="AH47" s="145">
        <f t="shared" ref="AH47:AH86" si="8">V47+X47+Z47+AB47+AD47+AF47</f>
        <v>774000</v>
      </c>
      <c r="AK47" s="390">
        <f t="shared" si="3"/>
        <v>0</v>
      </c>
      <c r="AL47" s="385">
        <v>19999769708</v>
      </c>
      <c r="AN47" s="446"/>
      <c r="AO47" s="446"/>
      <c r="AP47" s="446"/>
      <c r="AQ47" s="395">
        <f>0.7%+0.14%</f>
        <v>0.0084</v>
      </c>
      <c r="AR47" s="447">
        <f t="shared" si="2"/>
        <v>774000</v>
      </c>
      <c r="AS47" s="145"/>
      <c r="AT47" s="145">
        <v>100</v>
      </c>
      <c r="AU47" s="145"/>
      <c r="AV47" s="145"/>
      <c r="AW47" s="145"/>
      <c r="AX47" s="145"/>
      <c r="AY47" s="223"/>
      <c r="AZ47" s="452"/>
      <c r="BA47" s="145">
        <v>155000</v>
      </c>
      <c r="BB47" s="145"/>
      <c r="BC47" s="145">
        <v>619000</v>
      </c>
      <c r="BD47" s="145"/>
      <c r="BE47" s="145"/>
      <c r="BX47" s="459"/>
      <c r="BZ47" s="385" t="s">
        <v>260</v>
      </c>
      <c r="CA47" s="385" t="s">
        <v>271</v>
      </c>
      <c r="CB47" s="385" t="s">
        <v>261</v>
      </c>
      <c r="CE47" s="204"/>
    </row>
    <row r="48" s="385" customFormat="1" customHeight="1" spans="1:83">
      <c r="A48" s="385">
        <v>26</v>
      </c>
      <c r="C48" s="440">
        <v>45120</v>
      </c>
      <c r="D48" s="448">
        <v>20230005822</v>
      </c>
      <c r="F48" s="1026" t="s">
        <v>1405</v>
      </c>
      <c r="G48" s="385" t="s">
        <v>1406</v>
      </c>
      <c r="I48" s="441" t="s">
        <v>1407</v>
      </c>
      <c r="J48" s="385">
        <v>138.26</v>
      </c>
      <c r="K48" s="385">
        <v>138.26</v>
      </c>
      <c r="L48" s="385">
        <v>5240</v>
      </c>
      <c r="M48" s="389">
        <v>724482</v>
      </c>
      <c r="N48" s="145">
        <v>5246.18</v>
      </c>
      <c r="O48" s="390">
        <v>664662.39</v>
      </c>
      <c r="P48" s="443" t="s">
        <v>1408</v>
      </c>
      <c r="Q48" s="392">
        <v>45656</v>
      </c>
      <c r="R48" s="145"/>
      <c r="U48" s="385" t="s">
        <v>408</v>
      </c>
      <c r="V48" s="145">
        <v>10000</v>
      </c>
      <c r="W48" s="385" t="s">
        <v>1409</v>
      </c>
      <c r="X48" s="145">
        <v>50000</v>
      </c>
      <c r="Y48" s="442" t="s">
        <v>1410</v>
      </c>
      <c r="Z48" s="145">
        <v>100482</v>
      </c>
      <c r="AA48" s="385" t="s">
        <v>1019</v>
      </c>
      <c r="AB48" s="145">
        <v>64000</v>
      </c>
      <c r="AC48" s="385" t="s">
        <v>1411</v>
      </c>
      <c r="AD48" s="385">
        <v>500000</v>
      </c>
      <c r="AE48" s="385" t="s">
        <v>1412</v>
      </c>
      <c r="AH48" s="145">
        <f t="shared" si="8"/>
        <v>724482</v>
      </c>
      <c r="AK48" s="390">
        <f t="shared" si="3"/>
        <v>0</v>
      </c>
      <c r="AL48" s="385">
        <v>13899023889</v>
      </c>
      <c r="AN48" s="446"/>
      <c r="AO48" s="446"/>
      <c r="AP48" s="446"/>
      <c r="AQ48" s="395">
        <f>0.6%+0.04%+0.1%</f>
        <v>0.0074</v>
      </c>
      <c r="AR48" s="447">
        <f t="shared" si="2"/>
        <v>724482</v>
      </c>
      <c r="AS48" s="145"/>
      <c r="AT48" s="145"/>
      <c r="AU48" s="145"/>
      <c r="AV48" s="145"/>
      <c r="AW48" s="145"/>
      <c r="AX48" s="145"/>
      <c r="AY48" s="449"/>
      <c r="AZ48" s="450"/>
      <c r="BA48" s="145">
        <v>160482</v>
      </c>
      <c r="BB48" s="145">
        <v>564000</v>
      </c>
      <c r="BC48" s="145"/>
      <c r="BD48" s="145"/>
      <c r="BE48" s="145"/>
      <c r="BX48" s="459"/>
      <c r="BZ48" s="385" t="s">
        <v>260</v>
      </c>
      <c r="CA48" s="385" t="s">
        <v>271</v>
      </c>
      <c r="CB48" s="385" t="s">
        <v>261</v>
      </c>
      <c r="CE48" s="204"/>
    </row>
    <row r="49" s="385" customFormat="1" customHeight="1" spans="1:83">
      <c r="A49" s="385">
        <v>27</v>
      </c>
      <c r="C49" s="440">
        <v>44965</v>
      </c>
      <c r="D49" s="448">
        <v>20230001075</v>
      </c>
      <c r="F49" s="1026" t="s">
        <v>1413</v>
      </c>
      <c r="G49" s="385" t="s">
        <v>1414</v>
      </c>
      <c r="H49" s="1026" t="s">
        <v>1415</v>
      </c>
      <c r="I49" s="451" t="s">
        <v>1416</v>
      </c>
      <c r="J49" s="385">
        <v>137.77</v>
      </c>
      <c r="K49" s="385">
        <v>137.77</v>
      </c>
      <c r="L49" s="385">
        <v>5258</v>
      </c>
      <c r="M49" s="389">
        <v>724395</v>
      </c>
      <c r="N49" s="145"/>
      <c r="O49" s="390">
        <v>664582.57</v>
      </c>
      <c r="P49" s="443" t="s">
        <v>1417</v>
      </c>
      <c r="Q49" s="392">
        <v>45656</v>
      </c>
      <c r="R49" s="145"/>
      <c r="T49" s="461" t="s">
        <v>1418</v>
      </c>
      <c r="U49" s="385" t="s">
        <v>1419</v>
      </c>
      <c r="V49" s="145">
        <v>275395</v>
      </c>
      <c r="W49" s="442" t="s">
        <v>1363</v>
      </c>
      <c r="X49" s="145">
        <v>150000</v>
      </c>
      <c r="Y49" s="442" t="s">
        <v>1420</v>
      </c>
      <c r="Z49" s="145">
        <v>299000</v>
      </c>
      <c r="AA49" s="385" t="s">
        <v>1421</v>
      </c>
      <c r="AB49" s="145"/>
      <c r="AH49" s="145">
        <f t="shared" si="8"/>
        <v>724395</v>
      </c>
      <c r="AK49" s="390">
        <f t="shared" si="3"/>
        <v>0</v>
      </c>
      <c r="AL49" s="385">
        <v>15899013555</v>
      </c>
      <c r="AN49" s="446"/>
      <c r="AO49" s="446"/>
      <c r="AP49" s="446"/>
      <c r="AQ49" s="395">
        <f>0.4%+0.04%+0.1%+0.04%</f>
        <v>0.0058</v>
      </c>
      <c r="AR49" s="447">
        <f t="shared" si="2"/>
        <v>724395</v>
      </c>
      <c r="AS49" s="145"/>
      <c r="AT49" s="145"/>
      <c r="AU49" s="145"/>
      <c r="AV49" s="145">
        <v>275395</v>
      </c>
      <c r="AW49" s="145"/>
      <c r="AX49" s="145"/>
      <c r="AY49" s="449"/>
      <c r="AZ49" s="450"/>
      <c r="BA49" s="145"/>
      <c r="BB49" s="145">
        <v>449000</v>
      </c>
      <c r="BC49" s="145"/>
      <c r="BD49" s="145"/>
      <c r="BE49" s="145"/>
      <c r="BX49" s="459"/>
      <c r="BZ49" s="385" t="s">
        <v>260</v>
      </c>
      <c r="CA49" s="385" t="s">
        <v>271</v>
      </c>
      <c r="CB49" s="385" t="s">
        <v>261</v>
      </c>
      <c r="CE49" s="204"/>
    </row>
    <row r="50" s="385" customFormat="1" customHeight="1" spans="1:83">
      <c r="A50" s="385">
        <v>28</v>
      </c>
      <c r="C50" s="440">
        <v>44974</v>
      </c>
      <c r="D50" s="448">
        <v>20230001692</v>
      </c>
      <c r="F50" s="385" t="s">
        <v>1422</v>
      </c>
      <c r="G50" s="142" t="s">
        <v>1423</v>
      </c>
      <c r="H50" s="1031" t="s">
        <v>1424</v>
      </c>
      <c r="I50" s="451" t="s">
        <v>1425</v>
      </c>
      <c r="J50" s="385">
        <v>138.26</v>
      </c>
      <c r="K50" s="385">
        <v>138.26</v>
      </c>
      <c r="L50" s="385">
        <v>5114.96</v>
      </c>
      <c r="M50" s="389">
        <v>707195</v>
      </c>
      <c r="N50" s="145"/>
      <c r="O50" s="390">
        <v>648802.75</v>
      </c>
      <c r="P50" s="443" t="s">
        <v>1426</v>
      </c>
      <c r="Q50" s="392">
        <v>45656</v>
      </c>
      <c r="R50" s="145"/>
      <c r="S50" s="393"/>
      <c r="T50" s="394" t="s">
        <v>1427</v>
      </c>
      <c r="U50" s="393" t="s">
        <v>1428</v>
      </c>
      <c r="V50" s="145">
        <v>2000</v>
      </c>
      <c r="W50" s="146">
        <v>44759</v>
      </c>
      <c r="X50" s="145">
        <v>18000</v>
      </c>
      <c r="Y50" s="442" t="s">
        <v>1429</v>
      </c>
      <c r="Z50" s="145">
        <v>687195</v>
      </c>
      <c r="AA50" s="442" t="s">
        <v>647</v>
      </c>
      <c r="AB50" s="145"/>
      <c r="AH50" s="145">
        <f t="shared" si="8"/>
        <v>707195</v>
      </c>
      <c r="AK50" s="390">
        <f t="shared" si="3"/>
        <v>0</v>
      </c>
      <c r="AL50" s="385">
        <v>18109963899</v>
      </c>
      <c r="AN50" s="446"/>
      <c r="AO50" s="446"/>
      <c r="AP50" s="446"/>
      <c r="AQ50" s="395">
        <f>0.4%+0.04%+0.1%</f>
        <v>0.0054</v>
      </c>
      <c r="AR50" s="447">
        <f t="shared" si="2"/>
        <v>707195</v>
      </c>
      <c r="AS50" s="145"/>
      <c r="AT50" s="145">
        <v>100</v>
      </c>
      <c r="AU50" s="145"/>
      <c r="AV50" s="145">
        <v>707195</v>
      </c>
      <c r="AW50" s="145"/>
      <c r="AX50" s="145"/>
      <c r="AY50" s="449"/>
      <c r="AZ50" s="455"/>
      <c r="BA50" s="145"/>
      <c r="BB50" s="145"/>
      <c r="BC50" s="145"/>
      <c r="BD50" s="145"/>
      <c r="BE50" s="145"/>
      <c r="BX50" s="459"/>
      <c r="BZ50" s="385" t="s">
        <v>260</v>
      </c>
      <c r="CA50" s="385" t="s">
        <v>271</v>
      </c>
      <c r="CB50" s="385" t="s">
        <v>261</v>
      </c>
      <c r="CE50" s="204"/>
    </row>
    <row r="51" s="385" customFormat="1" customHeight="1" spans="1:83">
      <c r="A51" s="385">
        <v>29</v>
      </c>
      <c r="C51" s="146">
        <v>44968</v>
      </c>
      <c r="D51" s="448">
        <v>20230001440</v>
      </c>
      <c r="F51" s="456" t="s">
        <v>1430</v>
      </c>
      <c r="G51" s="468" t="s">
        <v>1206</v>
      </c>
      <c r="H51" s="468"/>
      <c r="I51" s="451" t="s">
        <v>1431</v>
      </c>
      <c r="J51" s="385">
        <v>137.77</v>
      </c>
      <c r="K51" s="385">
        <v>137.77</v>
      </c>
      <c r="L51" s="385">
        <v>137.77</v>
      </c>
      <c r="M51" s="389">
        <v>728681</v>
      </c>
      <c r="N51" s="145"/>
      <c r="O51" s="390">
        <v>668514.68</v>
      </c>
      <c r="P51" s="443" t="s">
        <v>1432</v>
      </c>
      <c r="Q51" s="392">
        <v>45694</v>
      </c>
      <c r="R51" s="145"/>
      <c r="T51" s="385" t="s">
        <v>1206</v>
      </c>
      <c r="U51" s="385" t="s">
        <v>1206</v>
      </c>
      <c r="V51" s="145">
        <v>20000</v>
      </c>
      <c r="W51" s="385" t="s">
        <v>1259</v>
      </c>
      <c r="X51" s="145">
        <v>601681</v>
      </c>
      <c r="Y51" s="146" t="s">
        <v>1229</v>
      </c>
      <c r="Z51" s="145">
        <v>107000</v>
      </c>
      <c r="AA51" s="442" t="s">
        <v>1247</v>
      </c>
      <c r="AB51" s="145"/>
      <c r="AH51" s="145">
        <f t="shared" si="8"/>
        <v>728681</v>
      </c>
      <c r="AK51" s="390">
        <f t="shared" si="3"/>
        <v>0</v>
      </c>
      <c r="AL51" s="456" t="s">
        <v>1433</v>
      </c>
      <c r="AM51" s="456"/>
      <c r="AN51" s="469"/>
      <c r="AO51" s="469"/>
      <c r="AP51" s="469"/>
      <c r="AQ51" s="395">
        <f>0.6%+0.06%+0.14%</f>
        <v>0.008</v>
      </c>
      <c r="AR51" s="447">
        <f t="shared" si="2"/>
        <v>728681</v>
      </c>
      <c r="AS51" s="145"/>
      <c r="AT51" s="145"/>
      <c r="AU51" s="145"/>
      <c r="AV51" s="145">
        <v>728681</v>
      </c>
      <c r="AW51" s="145"/>
      <c r="AX51" s="145"/>
      <c r="AY51" s="449"/>
      <c r="AZ51" s="450"/>
      <c r="BA51" s="145"/>
      <c r="BB51" s="145"/>
      <c r="BC51" s="145"/>
      <c r="BD51" s="145"/>
      <c r="BE51" s="145"/>
      <c r="BX51" s="459"/>
      <c r="BZ51" s="385" t="s">
        <v>260</v>
      </c>
      <c r="CA51" s="385" t="s">
        <v>271</v>
      </c>
      <c r="CB51" s="385" t="s">
        <v>261</v>
      </c>
      <c r="CE51" s="204"/>
    </row>
    <row r="52" s="385" customFormat="1" customHeight="1" spans="1:83">
      <c r="A52" s="385">
        <v>30</v>
      </c>
      <c r="C52" s="146">
        <v>44968</v>
      </c>
      <c r="D52" s="470">
        <v>20230001507</v>
      </c>
      <c r="F52" s="456" t="s">
        <v>1434</v>
      </c>
      <c r="G52" s="468" t="s">
        <v>1435</v>
      </c>
      <c r="H52" s="448"/>
      <c r="I52" s="441" t="s">
        <v>1436</v>
      </c>
      <c r="J52" s="385">
        <v>138.26</v>
      </c>
      <c r="K52" s="385">
        <v>138.26</v>
      </c>
      <c r="L52" s="385">
        <v>5268.63</v>
      </c>
      <c r="M52" s="389">
        <v>728441</v>
      </c>
      <c r="N52" s="145"/>
      <c r="O52" s="390">
        <v>668294.5</v>
      </c>
      <c r="P52" s="443" t="s">
        <v>1437</v>
      </c>
      <c r="Q52" s="392">
        <v>45656</v>
      </c>
      <c r="R52" s="145"/>
      <c r="S52" s="393"/>
      <c r="T52" s="448" t="s">
        <v>1438</v>
      </c>
      <c r="U52" s="448" t="s">
        <v>1438</v>
      </c>
      <c r="V52" s="145">
        <v>18441</v>
      </c>
      <c r="W52" s="146" t="s">
        <v>1229</v>
      </c>
      <c r="X52" s="145">
        <v>40000</v>
      </c>
      <c r="Y52" s="146" t="s">
        <v>1439</v>
      </c>
      <c r="Z52" s="145">
        <v>20000</v>
      </c>
      <c r="AA52" s="393" t="s">
        <v>810</v>
      </c>
      <c r="AB52" s="145">
        <v>70000</v>
      </c>
      <c r="AC52" s="385" t="s">
        <v>938</v>
      </c>
      <c r="AD52" s="145">
        <v>580000</v>
      </c>
      <c r="AE52" s="393" t="s">
        <v>1440</v>
      </c>
      <c r="AH52" s="145">
        <f t="shared" si="8"/>
        <v>728441</v>
      </c>
      <c r="AK52" s="390">
        <f t="shared" si="3"/>
        <v>0</v>
      </c>
      <c r="AL52" s="456" t="s">
        <v>1441</v>
      </c>
      <c r="AM52" s="456"/>
      <c r="AN52" s="469"/>
      <c r="AO52" s="469"/>
      <c r="AP52" s="469"/>
      <c r="AQ52" s="395">
        <f>0.6%+0.06%+0.14%+0.06%</f>
        <v>0.0086</v>
      </c>
      <c r="AR52" s="447">
        <f t="shared" si="2"/>
        <v>728441</v>
      </c>
      <c r="AS52" s="145"/>
      <c r="AT52" s="145">
        <v>100</v>
      </c>
      <c r="AU52" s="145"/>
      <c r="AV52" s="145"/>
      <c r="AW52" s="145"/>
      <c r="AX52" s="145"/>
      <c r="AY52" s="449"/>
      <c r="AZ52" s="457"/>
      <c r="BA52" s="145">
        <v>148441</v>
      </c>
      <c r="BB52" s="145"/>
      <c r="BC52" s="145"/>
      <c r="BD52" s="145">
        <v>580000</v>
      </c>
      <c r="BE52" s="145"/>
      <c r="BX52" s="459"/>
      <c r="BZ52" s="385" t="s">
        <v>260</v>
      </c>
      <c r="CA52" s="385" t="s">
        <v>271</v>
      </c>
      <c r="CB52" s="385" t="s">
        <v>261</v>
      </c>
      <c r="CE52" s="204"/>
    </row>
    <row r="53" s="385" customFormat="1" customHeight="1" spans="1:83">
      <c r="A53" s="385">
        <v>31</v>
      </c>
      <c r="C53" s="146">
        <v>44966</v>
      </c>
      <c r="D53" s="470">
        <v>20230001147</v>
      </c>
      <c r="F53" s="1026" t="s">
        <v>1442</v>
      </c>
      <c r="G53" s="142" t="s">
        <v>1443</v>
      </c>
      <c r="H53" s="1031" t="s">
        <v>703</v>
      </c>
      <c r="I53" s="441" t="s">
        <v>1444</v>
      </c>
      <c r="J53" s="385">
        <v>137.77</v>
      </c>
      <c r="K53" s="385">
        <v>137.77</v>
      </c>
      <c r="L53" s="385">
        <v>5220</v>
      </c>
      <c r="M53" s="389">
        <v>719159</v>
      </c>
      <c r="N53" s="145"/>
      <c r="O53" s="390">
        <v>659778.9</v>
      </c>
      <c r="P53" s="443" t="s">
        <v>1445</v>
      </c>
      <c r="Q53" s="392">
        <v>45656</v>
      </c>
      <c r="R53" s="145"/>
      <c r="S53" s="445"/>
      <c r="T53" s="453" t="s">
        <v>1446</v>
      </c>
      <c r="U53" s="445" t="s">
        <v>1447</v>
      </c>
      <c r="V53" s="145">
        <v>369159</v>
      </c>
      <c r="W53" s="146" t="s">
        <v>1259</v>
      </c>
      <c r="X53" s="385">
        <v>350000</v>
      </c>
      <c r="Y53" s="385" t="s">
        <v>1266</v>
      </c>
      <c r="Z53" s="145"/>
      <c r="AB53" s="145"/>
      <c r="AH53" s="145">
        <f t="shared" si="8"/>
        <v>719159</v>
      </c>
      <c r="AK53" s="390">
        <f t="shared" si="3"/>
        <v>0</v>
      </c>
      <c r="AL53" s="456" t="s">
        <v>1448</v>
      </c>
      <c r="AM53" s="456"/>
      <c r="AN53" s="469"/>
      <c r="AO53" s="469"/>
      <c r="AP53" s="469"/>
      <c r="AQ53" s="395">
        <f>0.4%+0.04%+0.1%</f>
        <v>0.0054</v>
      </c>
      <c r="AR53" s="447">
        <f t="shared" si="2"/>
        <v>719159</v>
      </c>
      <c r="AS53" s="145">
        <f>100</f>
        <v>100</v>
      </c>
      <c r="AT53" s="145">
        <v>100</v>
      </c>
      <c r="AU53" s="145"/>
      <c r="AV53" s="145">
        <v>719159</v>
      </c>
      <c r="AW53" s="145"/>
      <c r="AX53" s="145"/>
      <c r="AY53" s="449"/>
      <c r="AZ53" s="450"/>
      <c r="BA53" s="145"/>
      <c r="BB53" s="145"/>
      <c r="BC53" s="145"/>
      <c r="BD53" s="145"/>
      <c r="BE53" s="145"/>
      <c r="BX53" s="459"/>
      <c r="BZ53" s="385" t="s">
        <v>260</v>
      </c>
      <c r="CA53" s="385" t="s">
        <v>271</v>
      </c>
      <c r="CB53" s="385" t="s">
        <v>261</v>
      </c>
      <c r="CE53" s="204"/>
    </row>
    <row r="54" s="385" customFormat="1" customHeight="1" spans="1:83">
      <c r="A54" s="385">
        <v>32</v>
      </c>
      <c r="C54" s="146">
        <v>44964</v>
      </c>
      <c r="D54" s="470">
        <v>20230000826</v>
      </c>
      <c r="F54" s="456" t="s">
        <v>1449</v>
      </c>
      <c r="G54" s="142" t="s">
        <v>1450</v>
      </c>
      <c r="H54" s="1031" t="s">
        <v>1451</v>
      </c>
      <c r="I54" s="451" t="s">
        <v>1452</v>
      </c>
      <c r="J54" s="385">
        <v>138.26</v>
      </c>
      <c r="K54" s="385">
        <v>138.26</v>
      </c>
      <c r="L54" s="385">
        <v>5194.96</v>
      </c>
      <c r="M54" s="389">
        <v>718256</v>
      </c>
      <c r="N54" s="145"/>
      <c r="O54" s="390">
        <v>658950.46</v>
      </c>
      <c r="P54" s="443" t="s">
        <v>1453</v>
      </c>
      <c r="Q54" s="392">
        <v>45656</v>
      </c>
      <c r="R54" s="145"/>
      <c r="T54" s="461"/>
      <c r="U54" s="385" t="s">
        <v>1454</v>
      </c>
      <c r="V54" s="145">
        <v>56256</v>
      </c>
      <c r="W54" s="471" t="s">
        <v>1298</v>
      </c>
      <c r="X54" s="145">
        <v>160000</v>
      </c>
      <c r="Y54" s="471" t="s">
        <v>1455</v>
      </c>
      <c r="Z54" s="145">
        <v>502000</v>
      </c>
      <c r="AA54" s="385" t="s">
        <v>1456</v>
      </c>
      <c r="AB54" s="145"/>
      <c r="AH54" s="145">
        <f t="shared" si="8"/>
        <v>718256</v>
      </c>
      <c r="AJ54" s="442"/>
      <c r="AK54" s="390">
        <f t="shared" si="3"/>
        <v>0</v>
      </c>
      <c r="AL54" s="456" t="s">
        <v>1457</v>
      </c>
      <c r="AM54" s="456"/>
      <c r="AN54" s="469"/>
      <c r="AO54" s="469"/>
      <c r="AP54" s="469"/>
      <c r="AQ54" s="395">
        <f>0.6%+0.04%+0.1%</f>
        <v>0.0074</v>
      </c>
      <c r="AR54" s="447">
        <f t="shared" si="2"/>
        <v>718256</v>
      </c>
      <c r="AS54" s="145"/>
      <c r="AT54" s="145"/>
      <c r="AU54" s="145"/>
      <c r="AV54" s="145"/>
      <c r="AW54" s="145">
        <v>216256</v>
      </c>
      <c r="AX54" s="145">
        <v>502000</v>
      </c>
      <c r="AY54" s="449"/>
      <c r="AZ54" s="450"/>
      <c r="BA54" s="145"/>
      <c r="BB54" s="145"/>
      <c r="BC54" s="145"/>
      <c r="BD54" s="145"/>
      <c r="BE54" s="145"/>
      <c r="BX54" s="459"/>
      <c r="BZ54" s="385" t="s">
        <v>260</v>
      </c>
      <c r="CA54" s="385" t="s">
        <v>271</v>
      </c>
      <c r="CB54" s="385" t="s">
        <v>261</v>
      </c>
      <c r="CE54" s="204"/>
    </row>
    <row r="55" s="385" customFormat="1" customHeight="1" spans="1:83">
      <c r="A55" s="385">
        <v>33</v>
      </c>
      <c r="C55" s="146">
        <v>45053</v>
      </c>
      <c r="D55" s="470">
        <v>20230003918</v>
      </c>
      <c r="F55" s="1026" t="s">
        <v>1458</v>
      </c>
      <c r="G55" s="468" t="s">
        <v>1459</v>
      </c>
      <c r="H55" s="1028" t="s">
        <v>1460</v>
      </c>
      <c r="I55" s="441" t="s">
        <v>1461</v>
      </c>
      <c r="J55" s="385">
        <v>137.77</v>
      </c>
      <c r="K55" s="385">
        <v>137.77</v>
      </c>
      <c r="L55" s="385">
        <v>5259.96</v>
      </c>
      <c r="M55" s="389">
        <v>724665</v>
      </c>
      <c r="N55" s="145"/>
      <c r="O55" s="390">
        <v>664830.28</v>
      </c>
      <c r="P55" s="443" t="s">
        <v>1462</v>
      </c>
      <c r="Q55" s="392">
        <v>45656</v>
      </c>
      <c r="R55" s="145"/>
      <c r="S55" s="393"/>
      <c r="T55" s="394" t="s">
        <v>1463</v>
      </c>
      <c r="U55" s="393" t="s">
        <v>1464</v>
      </c>
      <c r="V55" s="145">
        <v>2000</v>
      </c>
      <c r="W55" s="471">
        <v>44774</v>
      </c>
      <c r="X55" s="145">
        <v>18000</v>
      </c>
      <c r="Y55" s="442" t="s">
        <v>1280</v>
      </c>
      <c r="Z55" s="145">
        <v>205665</v>
      </c>
      <c r="AA55" s="385" t="s">
        <v>331</v>
      </c>
      <c r="AB55" s="145">
        <v>499000</v>
      </c>
      <c r="AC55" s="393" t="s">
        <v>1009</v>
      </c>
      <c r="AH55" s="145">
        <f t="shared" si="8"/>
        <v>724665</v>
      </c>
      <c r="AK55" s="390">
        <f t="shared" si="3"/>
        <v>0</v>
      </c>
      <c r="AL55" s="385">
        <v>17709961530</v>
      </c>
      <c r="AM55" s="456"/>
      <c r="AN55" s="469"/>
      <c r="AO55" s="469"/>
      <c r="AP55" s="469"/>
      <c r="AQ55" s="395">
        <f>0.4%+0.04%+0.1%+0.04%</f>
        <v>0.0058</v>
      </c>
      <c r="AR55" s="447">
        <f t="shared" si="2"/>
        <v>724665</v>
      </c>
      <c r="AS55" s="145"/>
      <c r="AT55" s="145">
        <v>100</v>
      </c>
      <c r="AU55" s="145"/>
      <c r="AV55" s="145"/>
      <c r="AW55" s="145"/>
      <c r="AX55" s="145"/>
      <c r="AY55" s="449">
        <v>225665</v>
      </c>
      <c r="AZ55" s="450"/>
      <c r="BA55" s="145"/>
      <c r="BB55" s="145">
        <v>499000</v>
      </c>
      <c r="BC55" s="145"/>
      <c r="BD55" s="145"/>
      <c r="BE55" s="145"/>
      <c r="BX55" s="459"/>
      <c r="BZ55" s="385" t="s">
        <v>260</v>
      </c>
      <c r="CA55" s="385" t="s">
        <v>271</v>
      </c>
      <c r="CB55" s="385" t="s">
        <v>261</v>
      </c>
      <c r="CE55" s="204"/>
    </row>
    <row r="56" s="385" customFormat="1" customHeight="1" spans="1:83">
      <c r="A56" s="385">
        <v>34</v>
      </c>
      <c r="C56" s="146">
        <v>45005</v>
      </c>
      <c r="D56" s="448">
        <v>20230002636</v>
      </c>
      <c r="F56" s="456" t="s">
        <v>1465</v>
      </c>
      <c r="G56" s="468" t="s">
        <v>1189</v>
      </c>
      <c r="H56" s="1028" t="s">
        <v>1466</v>
      </c>
      <c r="I56" s="451" t="s">
        <v>1467</v>
      </c>
      <c r="J56" s="385">
        <v>138.26</v>
      </c>
      <c r="K56" s="385">
        <v>138.26</v>
      </c>
      <c r="L56" s="385">
        <v>5238.96</v>
      </c>
      <c r="M56" s="389">
        <v>724477</v>
      </c>
      <c r="N56" s="145"/>
      <c r="O56" s="390">
        <v>664657.8</v>
      </c>
      <c r="P56" s="443" t="s">
        <v>1468</v>
      </c>
      <c r="Q56" s="392">
        <v>45656</v>
      </c>
      <c r="R56" s="145"/>
      <c r="S56" s="393"/>
      <c r="T56" s="453" t="s">
        <v>1469</v>
      </c>
      <c r="U56" s="445" t="s">
        <v>1470</v>
      </c>
      <c r="V56" s="145">
        <f>4000</f>
        <v>4000</v>
      </c>
      <c r="W56" s="440">
        <v>44781</v>
      </c>
      <c r="X56" s="145">
        <v>16000</v>
      </c>
      <c r="Y56" s="146" t="s">
        <v>1471</v>
      </c>
      <c r="Z56" s="145">
        <v>477</v>
      </c>
      <c r="AA56" s="146" t="s">
        <v>1455</v>
      </c>
      <c r="AB56" s="145">
        <v>240000</v>
      </c>
      <c r="AC56" s="385" t="s">
        <v>1472</v>
      </c>
      <c r="AD56" s="385">
        <v>464000</v>
      </c>
      <c r="AE56" s="385" t="s">
        <v>1473</v>
      </c>
      <c r="AH56" s="145">
        <f t="shared" si="8"/>
        <v>724477</v>
      </c>
      <c r="AK56" s="390">
        <f t="shared" si="3"/>
        <v>0</v>
      </c>
      <c r="AL56" s="456" t="s">
        <v>1474</v>
      </c>
      <c r="AM56" s="456"/>
      <c r="AN56" s="469"/>
      <c r="AO56" s="469"/>
      <c r="AP56" s="469"/>
      <c r="AQ56" s="395">
        <f>0.4%+0.04%+0.1%</f>
        <v>0.0054</v>
      </c>
      <c r="AR56" s="447">
        <f t="shared" si="2"/>
        <v>724477</v>
      </c>
      <c r="AS56" s="145">
        <f t="shared" ref="AS56:AS61" si="9">100</f>
        <v>100</v>
      </c>
      <c r="AT56" s="145"/>
      <c r="AU56" s="145"/>
      <c r="AV56" s="145"/>
      <c r="AW56" s="145"/>
      <c r="AX56" s="145">
        <v>260477</v>
      </c>
      <c r="AY56" s="449">
        <v>464000</v>
      </c>
      <c r="AZ56" s="450"/>
      <c r="BA56" s="145"/>
      <c r="BB56" s="145"/>
      <c r="BC56" s="145"/>
      <c r="BD56" s="145"/>
      <c r="BE56" s="145"/>
      <c r="BX56" s="459"/>
      <c r="BZ56" s="385" t="s">
        <v>260</v>
      </c>
      <c r="CA56" s="385" t="s">
        <v>271</v>
      </c>
      <c r="CB56" s="385" t="s">
        <v>261</v>
      </c>
      <c r="CE56" s="204"/>
    </row>
    <row r="57" s="385" customFormat="1" customHeight="1" spans="1:83">
      <c r="A57" s="385">
        <v>35</v>
      </c>
      <c r="C57" s="146">
        <v>44968</v>
      </c>
      <c r="D57" s="448">
        <v>20230001427</v>
      </c>
      <c r="F57" s="456" t="s">
        <v>1475</v>
      </c>
      <c r="G57" s="468" t="s">
        <v>1476</v>
      </c>
      <c r="H57" s="1028" t="s">
        <v>1477</v>
      </c>
      <c r="I57" s="441" t="s">
        <v>1478</v>
      </c>
      <c r="J57" s="385">
        <v>137.77</v>
      </c>
      <c r="K57" s="385">
        <v>137.77</v>
      </c>
      <c r="L57" s="385">
        <v>5304.96</v>
      </c>
      <c r="M57" s="389">
        <v>730865</v>
      </c>
      <c r="N57" s="145"/>
      <c r="O57" s="390">
        <v>670518.35</v>
      </c>
      <c r="P57" s="443" t="s">
        <v>1479</v>
      </c>
      <c r="Q57" s="392">
        <v>45656</v>
      </c>
      <c r="R57" s="145"/>
      <c r="S57" s="445"/>
      <c r="T57" s="453" t="s">
        <v>1480</v>
      </c>
      <c r="U57" s="445" t="s">
        <v>1481</v>
      </c>
      <c r="V57" s="145">
        <v>150865</v>
      </c>
      <c r="W57" s="471" t="s">
        <v>1229</v>
      </c>
      <c r="X57" s="145">
        <v>580000</v>
      </c>
      <c r="Y57" s="471" t="s">
        <v>1440</v>
      </c>
      <c r="Z57" s="145"/>
      <c r="AA57" s="471"/>
      <c r="AB57" s="145"/>
      <c r="AC57" s="146"/>
      <c r="AD57" s="146"/>
      <c r="AE57" s="146"/>
      <c r="AF57" s="146"/>
      <c r="AG57" s="146"/>
      <c r="AH57" s="145">
        <f t="shared" si="8"/>
        <v>730865</v>
      </c>
      <c r="AK57" s="390">
        <f t="shared" si="3"/>
        <v>0</v>
      </c>
      <c r="AL57" s="456" t="s">
        <v>1482</v>
      </c>
      <c r="AM57" s="456"/>
      <c r="AN57" s="469"/>
      <c r="AO57" s="469"/>
      <c r="AP57" s="469"/>
      <c r="AQ57" s="395">
        <f>0.6%+0.04%+0.1%+0.04%</f>
        <v>0.0078</v>
      </c>
      <c r="AR57" s="447">
        <f t="shared" si="2"/>
        <v>730865</v>
      </c>
      <c r="AS57" s="145"/>
      <c r="AT57" s="145">
        <v>100</v>
      </c>
      <c r="AU57" s="145"/>
      <c r="AV57" s="145"/>
      <c r="AW57" s="145">
        <v>150865</v>
      </c>
      <c r="AX57" s="145"/>
      <c r="AY57" s="449"/>
      <c r="AZ57" s="450"/>
      <c r="BA57" s="145"/>
      <c r="BB57" s="145"/>
      <c r="BC57" s="145"/>
      <c r="BD57" s="145">
        <v>580000</v>
      </c>
      <c r="BE57" s="145"/>
      <c r="BX57" s="459"/>
      <c r="BZ57" s="385" t="s">
        <v>260</v>
      </c>
      <c r="CA57" s="385" t="s">
        <v>271</v>
      </c>
      <c r="CB57" s="385" t="s">
        <v>261</v>
      </c>
      <c r="CE57" s="204"/>
    </row>
    <row r="58" s="385" customFormat="1" ht="39" customHeight="1" spans="1:83">
      <c r="A58" s="385">
        <v>36</v>
      </c>
      <c r="C58" s="146">
        <v>44965</v>
      </c>
      <c r="D58" s="472">
        <v>20230001033</v>
      </c>
      <c r="F58" s="456" t="s">
        <v>1483</v>
      </c>
      <c r="G58" s="468" t="s">
        <v>1484</v>
      </c>
      <c r="H58" s="1028" t="s">
        <v>1485</v>
      </c>
      <c r="I58" s="451" t="s">
        <v>1486</v>
      </c>
      <c r="J58" s="385">
        <v>138.26</v>
      </c>
      <c r="K58" s="385">
        <v>138.26</v>
      </c>
      <c r="L58" s="385">
        <v>5284.96</v>
      </c>
      <c r="M58" s="464">
        <v>730699</v>
      </c>
      <c r="N58" s="465"/>
      <c r="O58" s="473">
        <v>670366.06</v>
      </c>
      <c r="P58" s="474" t="s">
        <v>1487</v>
      </c>
      <c r="Q58" s="392">
        <v>45656</v>
      </c>
      <c r="R58" s="145"/>
      <c r="S58" s="393"/>
      <c r="T58" s="453" t="s">
        <v>1488</v>
      </c>
      <c r="U58" s="445" t="s">
        <v>1489</v>
      </c>
      <c r="V58" s="145">
        <f>2000-2000</f>
        <v>0</v>
      </c>
      <c r="W58" s="440">
        <v>44771</v>
      </c>
      <c r="X58" s="385">
        <v>230699</v>
      </c>
      <c r="Y58" s="385" t="s">
        <v>1363</v>
      </c>
      <c r="Z58" s="145">
        <v>80000</v>
      </c>
      <c r="AA58" s="385" t="s">
        <v>1490</v>
      </c>
      <c r="AB58" s="145">
        <v>420000</v>
      </c>
      <c r="AC58" s="385" t="s">
        <v>1491</v>
      </c>
      <c r="AH58" s="145">
        <f t="shared" si="8"/>
        <v>730699</v>
      </c>
      <c r="AK58" s="390">
        <f t="shared" si="3"/>
        <v>0</v>
      </c>
      <c r="AL58" s="456" t="s">
        <v>1492</v>
      </c>
      <c r="AM58" s="456"/>
      <c r="AN58" s="475"/>
      <c r="AO58" s="475"/>
      <c r="AP58" s="475"/>
      <c r="AQ58" s="395">
        <f t="shared" ref="AQ58:AQ62" si="10">0.4%+0.04%+0.1%</f>
        <v>0.0054</v>
      </c>
      <c r="AR58" s="447">
        <f t="shared" si="2"/>
        <v>730699</v>
      </c>
      <c r="AS58" s="145"/>
      <c r="AT58" s="145">
        <v>100</v>
      </c>
      <c r="AU58" s="145"/>
      <c r="AV58" s="145">
        <v>310699</v>
      </c>
      <c r="AW58" s="145">
        <v>420000</v>
      </c>
      <c r="AX58" s="145"/>
      <c r="AY58" s="449"/>
      <c r="AZ58" s="450"/>
      <c r="BA58" s="145"/>
      <c r="BB58" s="145"/>
      <c r="BC58" s="145"/>
      <c r="BD58" s="145"/>
      <c r="BE58" s="145"/>
      <c r="BX58" s="459"/>
      <c r="BZ58" s="385" t="s">
        <v>260</v>
      </c>
      <c r="CA58" s="385" t="s">
        <v>271</v>
      </c>
      <c r="CB58" s="385" t="s">
        <v>261</v>
      </c>
      <c r="CE58" s="204"/>
    </row>
    <row r="59" s="385" customFormat="1" customHeight="1" spans="1:83">
      <c r="A59" s="385">
        <v>37</v>
      </c>
      <c r="C59" s="146">
        <v>44967</v>
      </c>
      <c r="D59" s="472">
        <v>20230001384</v>
      </c>
      <c r="F59" s="456" t="s">
        <v>1493</v>
      </c>
      <c r="G59" s="468" t="s">
        <v>1494</v>
      </c>
      <c r="H59" s="1028" t="s">
        <v>1495</v>
      </c>
      <c r="I59" s="441" t="s">
        <v>1496</v>
      </c>
      <c r="J59" s="385">
        <v>137.77</v>
      </c>
      <c r="K59" s="385">
        <v>137.77</v>
      </c>
      <c r="L59" s="385">
        <v>5329.96</v>
      </c>
      <c r="M59" s="464">
        <v>734309</v>
      </c>
      <c r="N59" s="465"/>
      <c r="O59" s="473">
        <v>673677.98</v>
      </c>
      <c r="P59" s="474" t="s">
        <v>1497</v>
      </c>
      <c r="Q59" s="392">
        <v>45656</v>
      </c>
      <c r="R59" s="145"/>
      <c r="S59" s="393"/>
      <c r="T59" s="394" t="s">
        <v>1498</v>
      </c>
      <c r="U59" s="393" t="s">
        <v>1499</v>
      </c>
      <c r="V59" s="145">
        <v>211309</v>
      </c>
      <c r="W59" s="146" t="s">
        <v>1228</v>
      </c>
      <c r="X59" s="145">
        <v>43000</v>
      </c>
      <c r="Y59" s="385" t="s">
        <v>647</v>
      </c>
      <c r="Z59" s="145">
        <v>480000</v>
      </c>
      <c r="AA59" s="146" t="s">
        <v>1500</v>
      </c>
      <c r="AB59" s="145"/>
      <c r="AH59" s="145">
        <f t="shared" si="8"/>
        <v>734309</v>
      </c>
      <c r="AK59" s="390">
        <f t="shared" si="3"/>
        <v>0</v>
      </c>
      <c r="AL59" s="456" t="s">
        <v>1501</v>
      </c>
      <c r="AM59" s="456"/>
      <c r="AN59" s="475"/>
      <c r="AO59" s="475"/>
      <c r="AP59" s="475"/>
      <c r="AQ59" s="395">
        <f>0.6%+0.04%+0.1%+0.04%</f>
        <v>0.0078</v>
      </c>
      <c r="AR59" s="447">
        <f t="shared" si="2"/>
        <v>734309</v>
      </c>
      <c r="AS59" s="145">
        <f t="shared" si="9"/>
        <v>100</v>
      </c>
      <c r="AT59" s="145"/>
      <c r="AU59" s="145"/>
      <c r="AV59" s="145">
        <v>254309</v>
      </c>
      <c r="AW59" s="145"/>
      <c r="AX59" s="145"/>
      <c r="AY59" s="449"/>
      <c r="AZ59" s="450"/>
      <c r="BA59" s="145"/>
      <c r="BB59" s="145"/>
      <c r="BC59" s="145"/>
      <c r="BD59" s="145"/>
      <c r="BE59" s="145">
        <v>480000</v>
      </c>
      <c r="BX59" s="459"/>
      <c r="BZ59" s="385" t="s">
        <v>260</v>
      </c>
      <c r="CA59" s="385" t="s">
        <v>271</v>
      </c>
      <c r="CB59" s="385" t="s">
        <v>261</v>
      </c>
      <c r="CE59" s="204"/>
    </row>
    <row r="60" s="385" customFormat="1" customHeight="1" spans="1:83">
      <c r="A60" s="385">
        <v>38</v>
      </c>
      <c r="C60" s="146">
        <v>45106</v>
      </c>
      <c r="D60" s="472">
        <v>20230005434</v>
      </c>
      <c r="F60" s="456" t="s">
        <v>1502</v>
      </c>
      <c r="G60" s="468" t="s">
        <v>1503</v>
      </c>
      <c r="H60" s="1028" t="s">
        <v>1504</v>
      </c>
      <c r="I60" s="451" t="s">
        <v>1505</v>
      </c>
      <c r="J60" s="385">
        <v>138.26</v>
      </c>
      <c r="K60" s="385">
        <v>138.26</v>
      </c>
      <c r="L60" s="385">
        <v>5309.96</v>
      </c>
      <c r="M60" s="464">
        <v>734155</v>
      </c>
      <c r="N60" s="465"/>
      <c r="O60" s="473">
        <v>673536.7</v>
      </c>
      <c r="P60" s="474" t="s">
        <v>1506</v>
      </c>
      <c r="Q60" s="392">
        <v>45656</v>
      </c>
      <c r="R60" s="145"/>
      <c r="S60" s="393"/>
      <c r="T60" s="394" t="s">
        <v>1507</v>
      </c>
      <c r="U60" s="393" t="s">
        <v>1508</v>
      </c>
      <c r="V60" s="145">
        <v>2000</v>
      </c>
      <c r="W60" s="146">
        <v>44755</v>
      </c>
      <c r="X60" s="145">
        <v>18000</v>
      </c>
      <c r="Y60" s="471" t="s">
        <v>1280</v>
      </c>
      <c r="Z60" s="145">
        <v>50000</v>
      </c>
      <c r="AA60" s="385" t="s">
        <v>1509</v>
      </c>
      <c r="AB60" s="145">
        <v>204155</v>
      </c>
      <c r="AC60" s="385" t="s">
        <v>1510</v>
      </c>
      <c r="AD60" s="145">
        <v>460000</v>
      </c>
      <c r="AE60" s="393" t="s">
        <v>446</v>
      </c>
      <c r="AH60" s="145">
        <f t="shared" si="8"/>
        <v>734155</v>
      </c>
      <c r="AK60" s="390">
        <f t="shared" si="3"/>
        <v>0</v>
      </c>
      <c r="AL60" s="456" t="s">
        <v>1511</v>
      </c>
      <c r="AM60" s="456"/>
      <c r="AN60" s="475"/>
      <c r="AO60" s="475"/>
      <c r="AP60" s="475"/>
      <c r="AQ60" s="395">
        <f>0.6%+0.1%+0.04%</f>
        <v>0.0074</v>
      </c>
      <c r="AR60" s="447">
        <f t="shared" si="2"/>
        <v>734155</v>
      </c>
      <c r="AS60" s="145">
        <f t="shared" si="9"/>
        <v>100</v>
      </c>
      <c r="AT60" s="145"/>
      <c r="AU60" s="145"/>
      <c r="AV60" s="145"/>
      <c r="AW60" s="145"/>
      <c r="AX60" s="145"/>
      <c r="AY60" s="449"/>
      <c r="AZ60" s="457">
        <v>274155</v>
      </c>
      <c r="BA60" s="145"/>
      <c r="BB60" s="145">
        <v>460000</v>
      </c>
      <c r="BC60" s="145"/>
      <c r="BD60" s="145"/>
      <c r="BE60" s="145"/>
      <c r="BX60" s="459"/>
      <c r="BZ60" s="385" t="s">
        <v>260</v>
      </c>
      <c r="CA60" s="385" t="s">
        <v>271</v>
      </c>
      <c r="CB60" s="385" t="s">
        <v>261</v>
      </c>
      <c r="CE60" s="204"/>
    </row>
    <row r="61" s="385" customFormat="1" customHeight="1" spans="1:83">
      <c r="A61" s="385">
        <v>39</v>
      </c>
      <c r="C61" s="146">
        <v>44962</v>
      </c>
      <c r="D61" s="448">
        <v>20230000663</v>
      </c>
      <c r="F61" s="456" t="s">
        <v>1512</v>
      </c>
      <c r="G61" s="468" t="s">
        <v>1513</v>
      </c>
      <c r="H61" s="1028" t="s">
        <v>1514</v>
      </c>
      <c r="I61" s="441" t="s">
        <v>1515</v>
      </c>
      <c r="J61" s="385">
        <v>137.77</v>
      </c>
      <c r="K61" s="385">
        <v>137.77</v>
      </c>
      <c r="L61" s="385">
        <v>5374.96</v>
      </c>
      <c r="M61" s="464">
        <v>740509</v>
      </c>
      <c r="N61" s="465"/>
      <c r="O61" s="473">
        <v>679366.06</v>
      </c>
      <c r="P61" s="474" t="s">
        <v>1516</v>
      </c>
      <c r="Q61" s="476">
        <v>45652</v>
      </c>
      <c r="R61" s="145"/>
      <c r="S61" s="393"/>
      <c r="T61" s="394" t="s">
        <v>1517</v>
      </c>
      <c r="U61" s="393" t="s">
        <v>1518</v>
      </c>
      <c r="V61" s="145">
        <v>230509</v>
      </c>
      <c r="W61" s="385" t="s">
        <v>1265</v>
      </c>
      <c r="X61" s="145">
        <v>510000</v>
      </c>
      <c r="Y61" s="385" t="s">
        <v>1266</v>
      </c>
      <c r="Z61" s="145"/>
      <c r="AB61" s="145"/>
      <c r="AH61" s="145">
        <f t="shared" si="8"/>
        <v>740509</v>
      </c>
      <c r="AK61" s="390">
        <f t="shared" si="3"/>
        <v>0</v>
      </c>
      <c r="AL61" s="456" t="s">
        <v>1519</v>
      </c>
      <c r="AM61" s="456"/>
      <c r="AN61" s="475"/>
      <c r="AO61" s="475"/>
      <c r="AP61" s="475"/>
      <c r="AQ61" s="395">
        <f t="shared" si="10"/>
        <v>0.0054</v>
      </c>
      <c r="AR61" s="447">
        <f t="shared" si="2"/>
        <v>740509</v>
      </c>
      <c r="AS61" s="145">
        <f t="shared" si="9"/>
        <v>100</v>
      </c>
      <c r="AT61" s="145"/>
      <c r="AU61" s="145"/>
      <c r="AV61" s="145">
        <v>740509</v>
      </c>
      <c r="AW61" s="145"/>
      <c r="AX61" s="145"/>
      <c r="AY61" s="449"/>
      <c r="AZ61" s="455"/>
      <c r="BA61" s="145"/>
      <c r="BB61" s="145"/>
      <c r="BC61" s="145"/>
      <c r="BD61" s="145"/>
      <c r="BE61" s="145"/>
      <c r="BX61" s="459"/>
      <c r="BZ61" s="385" t="s">
        <v>260</v>
      </c>
      <c r="CA61" s="385" t="s">
        <v>271</v>
      </c>
      <c r="CB61" s="385" t="s">
        <v>261</v>
      </c>
      <c r="CE61" s="204"/>
    </row>
    <row r="62" s="385" customFormat="1" customHeight="1" spans="1:83">
      <c r="A62" s="385">
        <v>40</v>
      </c>
      <c r="C62" s="146">
        <v>44965</v>
      </c>
      <c r="D62" s="472">
        <v>20230001030</v>
      </c>
      <c r="F62" s="456" t="s">
        <v>1520</v>
      </c>
      <c r="G62" s="468" t="s">
        <v>1521</v>
      </c>
      <c r="H62" s="1028" t="s">
        <v>1522</v>
      </c>
      <c r="I62" s="451" t="s">
        <v>1523</v>
      </c>
      <c r="J62" s="385">
        <v>138.26</v>
      </c>
      <c r="K62" s="385">
        <v>138.26</v>
      </c>
      <c r="L62" s="385">
        <v>5354.96</v>
      </c>
      <c r="M62" s="464">
        <v>740377</v>
      </c>
      <c r="N62" s="465"/>
      <c r="O62" s="473">
        <v>679244.95</v>
      </c>
      <c r="P62" s="474" t="s">
        <v>1524</v>
      </c>
      <c r="Q62" s="476">
        <v>45656</v>
      </c>
      <c r="R62" s="145"/>
      <c r="T62" s="461" t="s">
        <v>1525</v>
      </c>
      <c r="U62" s="385" t="s">
        <v>1526</v>
      </c>
      <c r="V62" s="145">
        <v>130377</v>
      </c>
      <c r="W62" s="471" t="s">
        <v>1363</v>
      </c>
      <c r="X62" s="145">
        <v>110000</v>
      </c>
      <c r="Y62" s="471" t="s">
        <v>1231</v>
      </c>
      <c r="Z62" s="145">
        <v>500000</v>
      </c>
      <c r="AA62" s="385" t="s">
        <v>1527</v>
      </c>
      <c r="AB62" s="145"/>
      <c r="AH62" s="145">
        <f t="shared" si="8"/>
        <v>740377</v>
      </c>
      <c r="AK62" s="390">
        <f t="shared" si="3"/>
        <v>0</v>
      </c>
      <c r="AL62" s="456" t="s">
        <v>1528</v>
      </c>
      <c r="AM62" s="456"/>
      <c r="AN62" s="475"/>
      <c r="AO62" s="475"/>
      <c r="AP62" s="475"/>
      <c r="AQ62" s="395">
        <f t="shared" si="10"/>
        <v>0.0054</v>
      </c>
      <c r="AR62" s="447">
        <f t="shared" si="2"/>
        <v>740377</v>
      </c>
      <c r="AS62" s="145"/>
      <c r="AT62" s="145"/>
      <c r="AU62" s="145"/>
      <c r="AV62" s="145"/>
      <c r="AW62" s="145">
        <v>740377</v>
      </c>
      <c r="AX62" s="145"/>
      <c r="AY62" s="449"/>
      <c r="AZ62" s="450"/>
      <c r="BA62" s="145"/>
      <c r="BB62" s="145"/>
      <c r="BC62" s="145"/>
      <c r="BD62" s="145"/>
      <c r="BE62" s="145"/>
      <c r="BX62" s="459"/>
      <c r="BZ62" s="385" t="s">
        <v>260</v>
      </c>
      <c r="CA62" s="385" t="s">
        <v>271</v>
      </c>
      <c r="CB62" s="385" t="s">
        <v>261</v>
      </c>
      <c r="CE62" s="204"/>
    </row>
    <row r="63" s="385" customFormat="1" customHeight="1" spans="1:83">
      <c r="A63" s="385">
        <v>41</v>
      </c>
      <c r="C63" s="146">
        <v>44965</v>
      </c>
      <c r="D63" s="472">
        <v>20230001002</v>
      </c>
      <c r="F63" s="456" t="s">
        <v>1529</v>
      </c>
      <c r="G63" s="448" t="s">
        <v>1530</v>
      </c>
      <c r="H63" s="448"/>
      <c r="I63" s="441" t="s">
        <v>1531</v>
      </c>
      <c r="J63" s="385">
        <v>137.77</v>
      </c>
      <c r="K63" s="385">
        <v>137.77</v>
      </c>
      <c r="L63" s="385">
        <v>5538.22</v>
      </c>
      <c r="M63" s="464">
        <v>763000</v>
      </c>
      <c r="N63" s="465"/>
      <c r="O63" s="473">
        <v>700000</v>
      </c>
      <c r="P63" s="474" t="s">
        <v>1532</v>
      </c>
      <c r="Q63" s="476">
        <v>45656</v>
      </c>
      <c r="R63" s="145"/>
      <c r="S63" s="393"/>
      <c r="T63" s="448" t="s">
        <v>1201</v>
      </c>
      <c r="U63" s="448" t="s">
        <v>1201</v>
      </c>
      <c r="V63" s="145">
        <v>763000</v>
      </c>
      <c r="W63" s="146" t="s">
        <v>1363</v>
      </c>
      <c r="X63" s="145"/>
      <c r="Y63" s="471"/>
      <c r="Z63" s="145"/>
      <c r="AA63" s="471"/>
      <c r="AB63" s="145"/>
      <c r="AH63" s="145">
        <f t="shared" si="8"/>
        <v>763000</v>
      </c>
      <c r="AK63" s="390">
        <f t="shared" si="3"/>
        <v>0</v>
      </c>
      <c r="AL63" s="456" t="s">
        <v>1533</v>
      </c>
      <c r="AM63" s="456"/>
      <c r="AN63" s="475"/>
      <c r="AO63" s="475"/>
      <c r="AP63" s="475"/>
      <c r="AQ63" s="395">
        <f>0.6%+0.06%+0.14%</f>
        <v>0.008</v>
      </c>
      <c r="AR63" s="447">
        <f t="shared" si="2"/>
        <v>763000</v>
      </c>
      <c r="AS63" s="145"/>
      <c r="AT63" s="145">
        <f>100+100</f>
        <v>200</v>
      </c>
      <c r="AU63" s="145"/>
      <c r="AV63" s="145">
        <v>763000</v>
      </c>
      <c r="AW63" s="145"/>
      <c r="AX63" s="145"/>
      <c r="AY63" s="449"/>
      <c r="AZ63" s="450"/>
      <c r="BA63" s="145"/>
      <c r="BB63" s="145"/>
      <c r="BC63" s="145"/>
      <c r="BD63" s="145"/>
      <c r="BE63" s="145"/>
      <c r="BX63" s="459"/>
      <c r="BZ63" s="385" t="s">
        <v>260</v>
      </c>
      <c r="CA63" s="385" t="s">
        <v>271</v>
      </c>
      <c r="CB63" s="385" t="s">
        <v>261</v>
      </c>
      <c r="CE63" s="204"/>
    </row>
    <row r="64" s="385" customFormat="1" customHeight="1" spans="1:83">
      <c r="A64" s="385">
        <v>42</v>
      </c>
      <c r="C64" s="146">
        <v>44968</v>
      </c>
      <c r="D64" s="472">
        <v>20230001567</v>
      </c>
      <c r="F64" s="477" t="s">
        <v>1534</v>
      </c>
      <c r="G64" s="448" t="s">
        <v>1535</v>
      </c>
      <c r="H64" s="448"/>
      <c r="I64" s="451" t="s">
        <v>1536</v>
      </c>
      <c r="J64" s="385">
        <v>138.26</v>
      </c>
      <c r="K64" s="385">
        <v>138.26</v>
      </c>
      <c r="L64" s="385">
        <v>5520.02</v>
      </c>
      <c r="M64" s="464">
        <v>763198</v>
      </c>
      <c r="N64" s="465"/>
      <c r="O64" s="473">
        <v>700181.65</v>
      </c>
      <c r="P64" s="474" t="s">
        <v>1537</v>
      </c>
      <c r="Q64" s="476">
        <v>45656</v>
      </c>
      <c r="R64" s="145"/>
      <c r="S64" s="393"/>
      <c r="T64" s="445" t="s">
        <v>1535</v>
      </c>
      <c r="U64" s="445" t="s">
        <v>1538</v>
      </c>
      <c r="V64" s="145">
        <f>2000-2000</f>
        <v>0</v>
      </c>
      <c r="W64" s="146">
        <v>44754</v>
      </c>
      <c r="X64" s="145">
        <v>133198</v>
      </c>
      <c r="Y64" s="471" t="s">
        <v>1229</v>
      </c>
      <c r="Z64" s="145">
        <v>100000</v>
      </c>
      <c r="AA64" s="146" t="s">
        <v>883</v>
      </c>
      <c r="AB64" s="145">
        <v>530000</v>
      </c>
      <c r="AC64" s="393" t="s">
        <v>1539</v>
      </c>
      <c r="AD64" s="146"/>
      <c r="AE64" s="146"/>
      <c r="AF64" s="146"/>
      <c r="AG64" s="146"/>
      <c r="AH64" s="145">
        <f t="shared" si="8"/>
        <v>763198</v>
      </c>
      <c r="AK64" s="390">
        <f t="shared" si="3"/>
        <v>0</v>
      </c>
      <c r="AL64" s="456" t="s">
        <v>1540</v>
      </c>
      <c r="AM64" s="456"/>
      <c r="AN64" s="475"/>
      <c r="AO64" s="475"/>
      <c r="AP64" s="475"/>
      <c r="AQ64" s="395">
        <f>0.4%+0.05%+0.14%</f>
        <v>0.0059</v>
      </c>
      <c r="AR64" s="447">
        <f t="shared" si="2"/>
        <v>763198</v>
      </c>
      <c r="AS64" s="145">
        <f>100</f>
        <v>100</v>
      </c>
      <c r="AT64" s="145"/>
      <c r="AU64" s="145"/>
      <c r="AV64" s="145"/>
      <c r="AW64" s="145"/>
      <c r="AX64" s="145">
        <v>233198</v>
      </c>
      <c r="AY64" s="449"/>
      <c r="AZ64" s="450"/>
      <c r="BA64" s="145"/>
      <c r="BB64" s="145"/>
      <c r="BC64" s="145"/>
      <c r="BD64" s="145"/>
      <c r="BE64" s="145"/>
      <c r="BG64" s="385">
        <v>530000</v>
      </c>
      <c r="BX64" s="459"/>
      <c r="BZ64" s="385" t="s">
        <v>260</v>
      </c>
      <c r="CA64" s="385" t="s">
        <v>271</v>
      </c>
      <c r="CB64" s="385" t="s">
        <v>261</v>
      </c>
      <c r="CE64" s="204"/>
    </row>
    <row r="65" s="385" customFormat="1" customHeight="1" spans="1:88">
      <c r="A65" s="385">
        <v>43</v>
      </c>
      <c r="C65" s="146">
        <v>45249</v>
      </c>
      <c r="D65" s="472">
        <v>20230009766</v>
      </c>
      <c r="F65" s="456" t="s">
        <v>1541</v>
      </c>
      <c r="G65" s="448" t="s">
        <v>1542</v>
      </c>
      <c r="H65" s="1030" t="s">
        <v>1543</v>
      </c>
      <c r="I65" s="441" t="s">
        <v>1544</v>
      </c>
      <c r="J65" s="385">
        <v>137.77</v>
      </c>
      <c r="K65" s="385">
        <v>137.77</v>
      </c>
      <c r="L65" s="385">
        <v>6482</v>
      </c>
      <c r="M65" s="464">
        <v>893025</v>
      </c>
      <c r="N65" s="465"/>
      <c r="O65" s="473">
        <v>819288.99</v>
      </c>
      <c r="P65" s="474" t="s">
        <v>1545</v>
      </c>
      <c r="Q65" s="476">
        <v>45656</v>
      </c>
      <c r="R65" s="145"/>
      <c r="T65" s="127" t="s">
        <v>1546</v>
      </c>
      <c r="U65" s="385" t="s">
        <v>1547</v>
      </c>
      <c r="V65" s="145">
        <f>2000+1000</f>
        <v>3000</v>
      </c>
      <c r="W65" s="146" t="s">
        <v>1548</v>
      </c>
      <c r="X65" s="145">
        <v>17000</v>
      </c>
      <c r="Y65" s="146" t="s">
        <v>1280</v>
      </c>
      <c r="Z65" s="145">
        <v>40000</v>
      </c>
      <c r="AA65" s="146" t="s">
        <v>1549</v>
      </c>
      <c r="AB65" s="145">
        <v>100000</v>
      </c>
      <c r="AC65" s="385" t="s">
        <v>1550</v>
      </c>
      <c r="AD65" s="385">
        <v>423025</v>
      </c>
      <c r="AE65" s="385" t="s">
        <v>1551</v>
      </c>
      <c r="AF65" s="385">
        <f>20000+290000</f>
        <v>310000</v>
      </c>
      <c r="AG65" s="142" t="s">
        <v>1552</v>
      </c>
      <c r="AH65" s="145">
        <f t="shared" si="8"/>
        <v>893025</v>
      </c>
      <c r="AK65" s="390">
        <f t="shared" si="3"/>
        <v>0</v>
      </c>
      <c r="AL65" s="456" t="s">
        <v>1553</v>
      </c>
      <c r="AM65" s="456"/>
      <c r="AN65" s="475"/>
      <c r="AO65" s="475"/>
      <c r="AP65" s="475"/>
      <c r="AQ65" s="395">
        <f>0.6%+0.1%+0.04%</f>
        <v>0.0074</v>
      </c>
      <c r="AR65" s="447">
        <f t="shared" si="2"/>
        <v>893025</v>
      </c>
      <c r="AS65" s="145"/>
      <c r="AT65" s="145"/>
      <c r="AU65" s="145"/>
      <c r="AV65" s="145"/>
      <c r="AW65" s="145"/>
      <c r="AX65" s="145"/>
      <c r="AY65" s="449"/>
      <c r="AZ65" s="450"/>
      <c r="BA65" s="145"/>
      <c r="BB65" s="145"/>
      <c r="BC65" s="145"/>
      <c r="BD65" s="145"/>
      <c r="BE65" s="145">
        <v>603025</v>
      </c>
      <c r="BF65" s="385">
        <v>290000</v>
      </c>
      <c r="BX65" s="459"/>
      <c r="BZ65" s="385" t="s">
        <v>260</v>
      </c>
      <c r="CA65" s="385" t="s">
        <v>271</v>
      </c>
      <c r="CB65" s="385" t="s">
        <v>261</v>
      </c>
      <c r="CE65" s="204"/>
    </row>
    <row r="66" s="385" customFormat="1" customHeight="1" spans="1:88">
      <c r="A66" s="385">
        <v>44</v>
      </c>
      <c r="C66" s="146">
        <v>45016</v>
      </c>
      <c r="D66" s="472">
        <v>20230002981</v>
      </c>
      <c r="F66" s="456" t="s">
        <v>1554</v>
      </c>
      <c r="G66" s="448" t="s">
        <v>1555</v>
      </c>
      <c r="H66" s="1030" t="s">
        <v>1556</v>
      </c>
      <c r="I66" s="441" t="s">
        <v>1557</v>
      </c>
      <c r="J66" s="385">
        <v>138.26</v>
      </c>
      <c r="K66" s="385">
        <v>138.26</v>
      </c>
      <c r="L66" s="385">
        <v>6609</v>
      </c>
      <c r="M66" s="389">
        <v>913760</v>
      </c>
      <c r="N66" s="145">
        <v>6492</v>
      </c>
      <c r="O66" s="473">
        <v>838311.93</v>
      </c>
      <c r="P66" s="474" t="s">
        <v>1558</v>
      </c>
      <c r="Q66" s="476">
        <v>45608</v>
      </c>
      <c r="R66" s="145"/>
      <c r="T66" s="385" t="s">
        <v>1555</v>
      </c>
      <c r="U66" s="385" t="s">
        <v>408</v>
      </c>
      <c r="V66" s="145">
        <v>20000</v>
      </c>
      <c r="W66" s="146" t="s">
        <v>1559</v>
      </c>
      <c r="X66" s="145">
        <f>60000+133760</f>
        <v>193760</v>
      </c>
      <c r="Y66" s="146" t="s">
        <v>1000</v>
      </c>
      <c r="Z66" s="145">
        <f>70000+630000</f>
        <v>700000</v>
      </c>
      <c r="AA66" s="385" t="s">
        <v>926</v>
      </c>
      <c r="AB66" s="145"/>
      <c r="AH66" s="145">
        <f t="shared" si="8"/>
        <v>913760</v>
      </c>
      <c r="AK66" s="390">
        <f t="shared" si="3"/>
        <v>0</v>
      </c>
      <c r="AL66" s="456" t="s">
        <v>1560</v>
      </c>
      <c r="AM66" s="456"/>
      <c r="AN66" s="475"/>
      <c r="AO66" s="475"/>
      <c r="AP66" s="475"/>
      <c r="AQ66" s="395">
        <f>0.6%+0.06%+0.14%</f>
        <v>0.008</v>
      </c>
      <c r="AR66" s="447">
        <f t="shared" si="2"/>
        <v>913760</v>
      </c>
      <c r="AS66" s="145"/>
      <c r="AT66" s="145"/>
      <c r="AU66" s="145"/>
      <c r="AV66" s="145"/>
      <c r="AW66" s="145">
        <v>213760</v>
      </c>
      <c r="AX66" s="145"/>
      <c r="AY66" s="223"/>
      <c r="AZ66" s="452"/>
      <c r="BA66" s="145">
        <v>700000</v>
      </c>
      <c r="BB66" s="145"/>
      <c r="BC66" s="145"/>
      <c r="BD66" s="145"/>
      <c r="BE66" s="145"/>
      <c r="BX66" s="459"/>
      <c r="BZ66" s="385" t="s">
        <v>260</v>
      </c>
      <c r="CA66" s="385" t="s">
        <v>271</v>
      </c>
      <c r="CB66" s="385" t="s">
        <v>261</v>
      </c>
      <c r="CE66" s="204"/>
    </row>
    <row r="67" s="204" customFormat="1" customHeight="1" spans="1:88">
      <c r="D67" s="478"/>
      <c r="F67" s="479"/>
      <c r="G67" s="480"/>
      <c r="H67" s="480"/>
      <c r="I67" s="481" t="s">
        <v>1561</v>
      </c>
      <c r="J67" s="204">
        <v>38.67</v>
      </c>
      <c r="M67" s="430"/>
      <c r="N67" s="431">
        <v>84920</v>
      </c>
      <c r="O67" s="482"/>
      <c r="P67" s="483"/>
      <c r="Q67" s="483"/>
      <c r="R67" s="431"/>
      <c r="S67" s="434"/>
      <c r="T67" s="434"/>
      <c r="U67" s="434"/>
      <c r="V67" s="431"/>
      <c r="W67" s="484"/>
      <c r="X67" s="431"/>
      <c r="Y67" s="484"/>
      <c r="Z67" s="431"/>
      <c r="AB67" s="431"/>
      <c r="AH67" s="431">
        <f t="shared" si="8"/>
        <v>0</v>
      </c>
      <c r="AK67" s="432">
        <f t="shared" ref="AK67:AK88" si="11">M67-AH67</f>
        <v>0</v>
      </c>
      <c r="AL67" s="479"/>
      <c r="AM67" s="479"/>
      <c r="AN67" s="485"/>
      <c r="AO67" s="485"/>
      <c r="AP67" s="485"/>
      <c r="AQ67" s="437">
        <v>0.02</v>
      </c>
      <c r="AR67" s="438">
        <f t="shared" si="2"/>
        <v>0</v>
      </c>
      <c r="AS67" s="431"/>
      <c r="AT67" s="431"/>
      <c r="AU67" s="431"/>
      <c r="AV67" s="431"/>
      <c r="AW67" s="431"/>
      <c r="AX67" s="431"/>
      <c r="AY67" s="242"/>
      <c r="AZ67" s="486"/>
      <c r="BA67" s="431"/>
      <c r="BB67" s="431"/>
      <c r="BC67" s="431"/>
      <c r="BD67" s="431"/>
      <c r="BE67" s="431"/>
      <c r="BX67" s="487"/>
      <c r="CJ67" s="104"/>
    </row>
    <row r="68" s="204" customFormat="1" customHeight="1" spans="1:88">
      <c r="D68" s="478"/>
      <c r="F68" s="479"/>
      <c r="G68" s="480"/>
      <c r="H68" s="480"/>
      <c r="I68" s="481" t="s">
        <v>1562</v>
      </c>
      <c r="J68" s="204">
        <v>65.05</v>
      </c>
      <c r="M68" s="430"/>
      <c r="N68" s="431"/>
      <c r="O68" s="482"/>
      <c r="P68" s="483"/>
      <c r="Q68" s="483"/>
      <c r="R68" s="431"/>
      <c r="S68" s="434"/>
      <c r="T68" s="434"/>
      <c r="U68" s="434"/>
      <c r="V68" s="431"/>
      <c r="W68" s="484"/>
      <c r="X68" s="431"/>
      <c r="Y68" s="484"/>
      <c r="Z68" s="431"/>
      <c r="AB68" s="431"/>
      <c r="AH68" s="431">
        <f t="shared" si="8"/>
        <v>0</v>
      </c>
      <c r="AK68" s="432">
        <f t="shared" si="11"/>
        <v>0</v>
      </c>
      <c r="AL68" s="479"/>
      <c r="AM68" s="479"/>
      <c r="AN68" s="485"/>
      <c r="AO68" s="485"/>
      <c r="AP68" s="485"/>
      <c r="AQ68" s="437">
        <v>0.02</v>
      </c>
      <c r="AR68" s="438">
        <f t="shared" si="2"/>
        <v>0</v>
      </c>
      <c r="AS68" s="431"/>
      <c r="AT68" s="431"/>
      <c r="AU68" s="431"/>
      <c r="AV68" s="431"/>
      <c r="AW68" s="431"/>
      <c r="AX68" s="431"/>
      <c r="AY68" s="242"/>
      <c r="AZ68" s="486"/>
      <c r="BA68" s="431"/>
      <c r="BB68" s="431"/>
      <c r="BC68" s="431"/>
      <c r="BD68" s="431"/>
      <c r="BE68" s="431"/>
      <c r="BX68" s="487"/>
      <c r="CJ68" s="104"/>
    </row>
    <row r="69" s="204" customFormat="1" customHeight="1" spans="1:88">
      <c r="D69" s="478"/>
      <c r="F69" s="479"/>
      <c r="G69" s="480"/>
      <c r="H69" s="480"/>
      <c r="I69" s="481" t="s">
        <v>1563</v>
      </c>
      <c r="J69" s="204">
        <v>64.62</v>
      </c>
      <c r="M69" s="430"/>
      <c r="N69" s="431"/>
      <c r="O69" s="482"/>
      <c r="P69" s="483"/>
      <c r="Q69" s="483"/>
      <c r="R69" s="431"/>
      <c r="S69" s="434"/>
      <c r="T69" s="434"/>
      <c r="U69" s="434"/>
      <c r="V69" s="431"/>
      <c r="W69" s="484"/>
      <c r="X69" s="431"/>
      <c r="Y69" s="484"/>
      <c r="Z69" s="431"/>
      <c r="AB69" s="431"/>
      <c r="AH69" s="431">
        <f t="shared" si="8"/>
        <v>0</v>
      </c>
      <c r="AK69" s="432">
        <f t="shared" si="11"/>
        <v>0</v>
      </c>
      <c r="AL69" s="479"/>
      <c r="AM69" s="479"/>
      <c r="AN69" s="485"/>
      <c r="AO69" s="485"/>
      <c r="AP69" s="485"/>
      <c r="AQ69" s="437">
        <v>0.02</v>
      </c>
      <c r="AR69" s="438">
        <f t="shared" ref="AR69:AR85" si="12">SUM(AU69:BU69)</f>
        <v>0</v>
      </c>
      <c r="AS69" s="431"/>
      <c r="AT69" s="431"/>
      <c r="AU69" s="431"/>
      <c r="AV69" s="431"/>
      <c r="AW69" s="431"/>
      <c r="AX69" s="431"/>
      <c r="AY69" s="242"/>
      <c r="AZ69" s="486"/>
      <c r="BA69" s="431"/>
      <c r="BB69" s="431"/>
      <c r="BC69" s="431"/>
      <c r="BD69" s="431"/>
      <c r="BE69" s="431"/>
      <c r="BX69" s="487"/>
      <c r="CJ69" s="104"/>
    </row>
    <row r="70" s="204" customFormat="1" customHeight="1" spans="1:88">
      <c r="D70" s="478"/>
      <c r="F70" s="479"/>
      <c r="G70" s="480"/>
      <c r="H70" s="480"/>
      <c r="I70" s="481" t="s">
        <v>1564</v>
      </c>
      <c r="J70" s="204">
        <v>39.17</v>
      </c>
      <c r="L70" s="204">
        <v>2195.56</v>
      </c>
      <c r="M70" s="430"/>
      <c r="N70" s="431">
        <v>86000</v>
      </c>
      <c r="O70" s="482"/>
      <c r="P70" s="483"/>
      <c r="Q70" s="483"/>
      <c r="R70" s="431"/>
      <c r="S70" s="434"/>
      <c r="T70" s="434"/>
      <c r="U70" s="434"/>
      <c r="V70" s="431"/>
      <c r="W70" s="484"/>
      <c r="X70" s="431"/>
      <c r="Y70" s="484"/>
      <c r="Z70" s="431"/>
      <c r="AB70" s="431"/>
      <c r="AH70" s="431">
        <f t="shared" si="8"/>
        <v>0</v>
      </c>
      <c r="AK70" s="432">
        <f t="shared" si="11"/>
        <v>0</v>
      </c>
      <c r="AL70" s="479"/>
      <c r="AM70" s="479"/>
      <c r="AN70" s="485"/>
      <c r="AO70" s="485"/>
      <c r="AP70" s="485"/>
      <c r="AQ70" s="437">
        <v>0.02</v>
      </c>
      <c r="AR70" s="438">
        <f t="shared" si="12"/>
        <v>0</v>
      </c>
      <c r="AS70" s="431"/>
      <c r="AT70" s="431"/>
      <c r="AU70" s="431"/>
      <c r="AV70" s="431"/>
      <c r="AW70" s="431"/>
      <c r="AX70" s="431"/>
      <c r="AY70" s="242"/>
      <c r="AZ70" s="486"/>
      <c r="BA70" s="431"/>
      <c r="BB70" s="431"/>
      <c r="BC70" s="431"/>
      <c r="BD70" s="431"/>
      <c r="BE70" s="431"/>
      <c r="BX70" s="487"/>
      <c r="CJ70" s="104"/>
    </row>
    <row r="71" s="204" customFormat="1" customHeight="1" spans="1:88">
      <c r="D71" s="478"/>
      <c r="F71" s="479"/>
      <c r="G71" s="480"/>
      <c r="H71" s="480"/>
      <c r="I71" s="481" t="s">
        <v>1565</v>
      </c>
      <c r="J71" s="204">
        <v>28.18</v>
      </c>
      <c r="M71" s="430"/>
      <c r="N71" s="431">
        <v>61880</v>
      </c>
      <c r="O71" s="482"/>
      <c r="P71" s="483"/>
      <c r="Q71" s="483"/>
      <c r="R71" s="431"/>
      <c r="S71" s="434"/>
      <c r="T71" s="434"/>
      <c r="U71" s="434"/>
      <c r="V71" s="431">
        <f>2000-2000</f>
        <v>0</v>
      </c>
      <c r="W71" s="434">
        <v>45537</v>
      </c>
      <c r="X71" s="431"/>
      <c r="Y71" s="484"/>
      <c r="Z71" s="431"/>
      <c r="AB71" s="431"/>
      <c r="AH71" s="431">
        <f t="shared" si="8"/>
        <v>0</v>
      </c>
      <c r="AK71" s="432">
        <f t="shared" si="11"/>
        <v>0</v>
      </c>
      <c r="AL71" s="479"/>
      <c r="AM71" s="479"/>
      <c r="AN71" s="485"/>
      <c r="AO71" s="485"/>
      <c r="AP71" s="485"/>
      <c r="AQ71" s="437">
        <v>0.02</v>
      </c>
      <c r="AR71" s="438">
        <f t="shared" si="12"/>
        <v>0</v>
      </c>
      <c r="AS71" s="431"/>
      <c r="AT71" s="431"/>
      <c r="AU71" s="431"/>
      <c r="AV71" s="431"/>
      <c r="AW71" s="431"/>
      <c r="AX71" s="431"/>
      <c r="AY71" s="242"/>
      <c r="AZ71" s="486"/>
      <c r="BA71" s="431"/>
      <c r="BB71" s="431"/>
      <c r="BC71" s="431"/>
      <c r="BD71" s="431"/>
      <c r="BE71" s="431"/>
      <c r="BX71" s="487"/>
      <c r="CJ71" s="104"/>
    </row>
    <row r="72" s="204" customFormat="1" customHeight="1" spans="1:88">
      <c r="D72" s="478"/>
      <c r="F72" s="479"/>
      <c r="G72" s="480" t="s">
        <v>1566</v>
      </c>
      <c r="H72" s="480"/>
      <c r="I72" s="481" t="s">
        <v>1567</v>
      </c>
      <c r="J72" s="204">
        <v>24.68</v>
      </c>
      <c r="L72" s="204">
        <v>2196.11</v>
      </c>
      <c r="M72" s="430">
        <v>54200</v>
      </c>
      <c r="N72" s="431"/>
      <c r="O72" s="482"/>
      <c r="P72" s="483"/>
      <c r="Q72" s="483"/>
      <c r="R72" s="431"/>
      <c r="S72" s="434"/>
      <c r="T72" s="434"/>
      <c r="U72" s="434"/>
      <c r="V72" s="431">
        <v>3000</v>
      </c>
      <c r="W72" s="434">
        <v>45540</v>
      </c>
      <c r="X72" s="431">
        <v>51200</v>
      </c>
      <c r="Y72" s="434">
        <v>45566</v>
      </c>
      <c r="Z72" s="431"/>
      <c r="AB72" s="431"/>
      <c r="AH72" s="431">
        <f t="shared" si="8"/>
        <v>54200</v>
      </c>
      <c r="AK72" s="432">
        <f t="shared" si="11"/>
        <v>0</v>
      </c>
      <c r="AL72" s="479"/>
      <c r="AM72" s="479"/>
      <c r="AN72" s="485"/>
      <c r="AO72" s="485"/>
      <c r="AP72" s="485"/>
      <c r="AQ72" s="437">
        <v>0.02</v>
      </c>
      <c r="AR72" s="438">
        <f t="shared" si="12"/>
        <v>54200</v>
      </c>
      <c r="AS72" s="431"/>
      <c r="AT72" s="431"/>
      <c r="AU72" s="431"/>
      <c r="AV72" s="431"/>
      <c r="AW72" s="431"/>
      <c r="AX72" s="431"/>
      <c r="AY72" s="242"/>
      <c r="AZ72" s="486"/>
      <c r="BA72" s="431"/>
      <c r="BB72" s="431"/>
      <c r="BC72" s="431"/>
      <c r="BD72" s="431"/>
      <c r="BE72" s="431"/>
      <c r="BN72" s="204">
        <v>54200</v>
      </c>
      <c r="BX72" s="487"/>
      <c r="CJ72" s="104"/>
    </row>
    <row r="73" s="204" customFormat="1" customHeight="1" spans="1:88">
      <c r="D73" s="478"/>
      <c r="F73" s="479"/>
      <c r="G73" s="480"/>
      <c r="H73" s="480"/>
      <c r="I73" s="481" t="s">
        <v>1568</v>
      </c>
      <c r="J73" s="204">
        <v>39.17</v>
      </c>
      <c r="L73" s="204">
        <v>2195.56</v>
      </c>
      <c r="M73" s="430"/>
      <c r="N73" s="431">
        <v>86000</v>
      </c>
      <c r="O73" s="482"/>
      <c r="P73" s="483"/>
      <c r="Q73" s="483"/>
      <c r="R73" s="431"/>
      <c r="S73" s="434"/>
      <c r="T73" s="434"/>
      <c r="U73" s="434"/>
      <c r="V73" s="431"/>
      <c r="W73" s="484"/>
      <c r="X73" s="431"/>
      <c r="Y73" s="484"/>
      <c r="Z73" s="431"/>
      <c r="AB73" s="431"/>
      <c r="AH73" s="431">
        <f t="shared" si="8"/>
        <v>0</v>
      </c>
      <c r="AK73" s="432">
        <f t="shared" si="11"/>
        <v>0</v>
      </c>
      <c r="AL73" s="479"/>
      <c r="AM73" s="479"/>
      <c r="AN73" s="485"/>
      <c r="AO73" s="485"/>
      <c r="AP73" s="485"/>
      <c r="AQ73" s="437">
        <v>0.02</v>
      </c>
      <c r="AR73" s="438">
        <f t="shared" si="12"/>
        <v>0</v>
      </c>
      <c r="AS73" s="431"/>
      <c r="AT73" s="431"/>
      <c r="AU73" s="431"/>
      <c r="AV73" s="431"/>
      <c r="AW73" s="431"/>
      <c r="AX73" s="431"/>
      <c r="AY73" s="242"/>
      <c r="AZ73" s="486"/>
      <c r="BA73" s="431"/>
      <c r="BB73" s="431"/>
      <c r="BC73" s="431"/>
      <c r="BD73" s="431"/>
      <c r="BE73" s="431"/>
      <c r="BX73" s="487"/>
      <c r="CJ73" s="104"/>
    </row>
    <row r="74" s="204" customFormat="1" customHeight="1" spans="1:88">
      <c r="D74" s="478"/>
      <c r="F74" s="479"/>
      <c r="G74" s="480"/>
      <c r="H74" s="480"/>
      <c r="I74" s="481" t="s">
        <v>1569</v>
      </c>
      <c r="J74" s="204">
        <v>64.62</v>
      </c>
      <c r="M74" s="430"/>
      <c r="N74" s="431"/>
      <c r="O74" s="482"/>
      <c r="P74" s="483"/>
      <c r="Q74" s="483"/>
      <c r="R74" s="431"/>
      <c r="S74" s="434"/>
      <c r="T74" s="434"/>
      <c r="U74" s="434"/>
      <c r="V74" s="431"/>
      <c r="W74" s="484"/>
      <c r="X74" s="431"/>
      <c r="Y74" s="484"/>
      <c r="Z74" s="431"/>
      <c r="AB74" s="431"/>
      <c r="AH74" s="431">
        <f t="shared" si="8"/>
        <v>0</v>
      </c>
      <c r="AK74" s="432">
        <f t="shared" si="11"/>
        <v>0</v>
      </c>
      <c r="AL74" s="479"/>
      <c r="AM74" s="479"/>
      <c r="AN74" s="485"/>
      <c r="AO74" s="485"/>
      <c r="AP74" s="485"/>
      <c r="AQ74" s="437">
        <v>0.02</v>
      </c>
      <c r="AR74" s="438">
        <f t="shared" si="12"/>
        <v>0</v>
      </c>
      <c r="AS74" s="431"/>
      <c r="AT74" s="431"/>
      <c r="AU74" s="431"/>
      <c r="AV74" s="431"/>
      <c r="AW74" s="431"/>
      <c r="AX74" s="431"/>
      <c r="AY74" s="242"/>
      <c r="AZ74" s="486"/>
      <c r="BA74" s="431"/>
      <c r="BB74" s="431"/>
      <c r="BC74" s="431"/>
      <c r="BD74" s="431"/>
      <c r="BE74" s="431"/>
      <c r="BX74" s="487"/>
      <c r="CJ74" s="104"/>
    </row>
    <row r="75" s="204" customFormat="1" customHeight="1" spans="1:88">
      <c r="D75" s="478"/>
      <c r="F75" s="479"/>
      <c r="G75" s="480"/>
      <c r="H75" s="480"/>
      <c r="I75" s="481" t="s">
        <v>1570</v>
      </c>
      <c r="J75" s="204">
        <v>64.78</v>
      </c>
      <c r="M75" s="430"/>
      <c r="N75" s="431"/>
      <c r="O75" s="482"/>
      <c r="P75" s="483"/>
      <c r="Q75" s="483"/>
      <c r="R75" s="431"/>
      <c r="S75" s="434"/>
      <c r="T75" s="434"/>
      <c r="U75" s="434"/>
      <c r="V75" s="431"/>
      <c r="W75" s="484"/>
      <c r="X75" s="431"/>
      <c r="Y75" s="484"/>
      <c r="Z75" s="431"/>
      <c r="AB75" s="431"/>
      <c r="AH75" s="431">
        <f t="shared" si="8"/>
        <v>0</v>
      </c>
      <c r="AK75" s="432">
        <f t="shared" si="11"/>
        <v>0</v>
      </c>
      <c r="AL75" s="479"/>
      <c r="AM75" s="479"/>
      <c r="AN75" s="485"/>
      <c r="AO75" s="485"/>
      <c r="AP75" s="485"/>
      <c r="AQ75" s="437">
        <v>0.02</v>
      </c>
      <c r="AR75" s="438">
        <f t="shared" si="12"/>
        <v>0</v>
      </c>
      <c r="AS75" s="431"/>
      <c r="AT75" s="431"/>
      <c r="AU75" s="431"/>
      <c r="AV75" s="431"/>
      <c r="AW75" s="431"/>
      <c r="AX75" s="431"/>
      <c r="AY75" s="242"/>
      <c r="AZ75" s="486"/>
      <c r="BA75" s="431"/>
      <c r="BB75" s="431"/>
      <c r="BC75" s="431"/>
      <c r="BD75" s="431"/>
      <c r="BE75" s="431"/>
      <c r="BX75" s="487"/>
      <c r="CJ75" s="104"/>
    </row>
    <row r="76" s="204" customFormat="1" customHeight="1" spans="1:88">
      <c r="D76" s="478"/>
      <c r="F76" s="479"/>
      <c r="G76" s="480"/>
      <c r="H76" s="480"/>
      <c r="I76" s="481" t="s">
        <v>1571</v>
      </c>
      <c r="J76" s="204">
        <v>38.67</v>
      </c>
      <c r="L76" s="204">
        <v>2196.02</v>
      </c>
      <c r="M76" s="430"/>
      <c r="N76" s="431">
        <v>84920</v>
      </c>
      <c r="O76" s="482"/>
      <c r="P76" s="483"/>
      <c r="Q76" s="483"/>
      <c r="R76" s="431"/>
      <c r="S76" s="434"/>
      <c r="T76" s="434"/>
      <c r="U76" s="434"/>
      <c r="V76" s="431"/>
      <c r="W76" s="484"/>
      <c r="X76" s="431"/>
      <c r="Y76" s="484"/>
      <c r="Z76" s="431"/>
      <c r="AB76" s="431"/>
      <c r="AH76" s="431">
        <f t="shared" si="8"/>
        <v>0</v>
      </c>
      <c r="AK76" s="432">
        <f t="shared" si="11"/>
        <v>0</v>
      </c>
      <c r="AL76" s="479"/>
      <c r="AM76" s="479"/>
      <c r="AN76" s="485"/>
      <c r="AO76" s="485"/>
      <c r="AP76" s="485"/>
      <c r="AQ76" s="437">
        <v>0.02</v>
      </c>
      <c r="AR76" s="438">
        <f t="shared" si="12"/>
        <v>0</v>
      </c>
      <c r="AS76" s="431"/>
      <c r="AT76" s="431"/>
      <c r="AU76" s="431"/>
      <c r="AV76" s="431"/>
      <c r="AW76" s="431"/>
      <c r="AX76" s="431"/>
      <c r="AY76" s="242"/>
      <c r="AZ76" s="488"/>
      <c r="BA76" s="431"/>
      <c r="BB76" s="431"/>
      <c r="BC76" s="431"/>
      <c r="BD76" s="431"/>
      <c r="BE76" s="431"/>
      <c r="BX76" s="487"/>
      <c r="CJ76" s="104"/>
    </row>
    <row r="77" s="204" customFormat="1" customHeight="1" spans="1:88">
      <c r="D77" s="478"/>
      <c r="F77" s="479"/>
      <c r="G77" s="480" t="s">
        <v>1572</v>
      </c>
      <c r="H77" s="480"/>
      <c r="I77" s="481" t="s">
        <v>1573</v>
      </c>
      <c r="J77" s="204">
        <v>15.5</v>
      </c>
      <c r="L77" s="204">
        <v>2196.13</v>
      </c>
      <c r="M77" s="430">
        <v>34040</v>
      </c>
      <c r="N77" s="431"/>
      <c r="O77" s="482"/>
      <c r="P77" s="483"/>
      <c r="Q77" s="483"/>
      <c r="R77" s="431"/>
      <c r="S77" s="434"/>
      <c r="T77" s="434"/>
      <c r="U77" s="434"/>
      <c r="V77" s="431">
        <v>34040</v>
      </c>
      <c r="W77" s="434">
        <v>45536</v>
      </c>
      <c r="X77" s="431"/>
      <c r="Y77" s="484"/>
      <c r="Z77" s="431"/>
      <c r="AB77" s="431"/>
      <c r="AH77" s="431">
        <f t="shared" si="8"/>
        <v>34040</v>
      </c>
      <c r="AK77" s="432">
        <f t="shared" si="11"/>
        <v>0</v>
      </c>
      <c r="AL77" s="479"/>
      <c r="AM77" s="479"/>
      <c r="AN77" s="485"/>
      <c r="AO77" s="485"/>
      <c r="AP77" s="485"/>
      <c r="AQ77" s="437">
        <v>0.02</v>
      </c>
      <c r="AR77" s="438">
        <f t="shared" si="12"/>
        <v>34040</v>
      </c>
      <c r="AS77" s="431"/>
      <c r="AT77" s="431"/>
      <c r="AU77" s="431"/>
      <c r="AV77" s="431"/>
      <c r="AW77" s="431"/>
      <c r="AX77" s="431"/>
      <c r="AY77" s="242"/>
      <c r="AZ77" s="486"/>
      <c r="BA77" s="431"/>
      <c r="BB77" s="431"/>
      <c r="BC77" s="431"/>
      <c r="BD77" s="431"/>
      <c r="BE77" s="431"/>
      <c r="BN77" s="204">
        <v>34040</v>
      </c>
      <c r="BX77" s="487"/>
      <c r="CJ77" s="104"/>
    </row>
    <row r="78" s="204" customFormat="1" customHeight="1" spans="1:88">
      <c r="D78" s="478"/>
      <c r="F78" s="479"/>
      <c r="G78" s="480" t="s">
        <v>1574</v>
      </c>
      <c r="H78" s="480"/>
      <c r="I78" s="481" t="s">
        <v>1575</v>
      </c>
      <c r="J78" s="204">
        <v>22.57</v>
      </c>
      <c r="L78" s="204">
        <v>2195.84</v>
      </c>
      <c r="M78" s="430">
        <v>49560</v>
      </c>
      <c r="N78" s="431"/>
      <c r="O78" s="482"/>
      <c r="P78" s="483"/>
      <c r="Q78" s="483"/>
      <c r="R78" s="431"/>
      <c r="S78" s="434"/>
      <c r="T78" s="434"/>
      <c r="U78" s="434"/>
      <c r="V78" s="431">
        <v>2000</v>
      </c>
      <c r="W78" s="434">
        <v>45538</v>
      </c>
      <c r="X78" s="431">
        <v>47560</v>
      </c>
      <c r="Y78" s="434">
        <v>45576</v>
      </c>
      <c r="Z78" s="431"/>
      <c r="AB78" s="431"/>
      <c r="AH78" s="431">
        <f t="shared" si="8"/>
        <v>49560</v>
      </c>
      <c r="AK78" s="432">
        <f t="shared" si="11"/>
        <v>0</v>
      </c>
      <c r="AL78" s="479"/>
      <c r="AM78" s="479"/>
      <c r="AN78" s="485"/>
      <c r="AO78" s="485"/>
      <c r="AP78" s="485"/>
      <c r="AQ78" s="437">
        <v>0.02</v>
      </c>
      <c r="AR78" s="438">
        <f t="shared" si="12"/>
        <v>49560</v>
      </c>
      <c r="AS78" s="431"/>
      <c r="AT78" s="431"/>
      <c r="AU78" s="431"/>
      <c r="AV78" s="431"/>
      <c r="AW78" s="431"/>
      <c r="AX78" s="431"/>
      <c r="AY78" s="242"/>
      <c r="AZ78" s="486"/>
      <c r="BA78" s="431"/>
      <c r="BB78" s="431"/>
      <c r="BC78" s="431"/>
      <c r="BD78" s="431"/>
      <c r="BE78" s="431"/>
      <c r="BO78" s="204">
        <v>49560</v>
      </c>
      <c r="BX78" s="487"/>
      <c r="CJ78" s="104"/>
    </row>
    <row r="79" s="204" customFormat="1" customHeight="1" spans="1:88">
      <c r="D79" s="478"/>
      <c r="F79" s="479"/>
      <c r="G79" s="480" t="s">
        <v>1576</v>
      </c>
      <c r="H79" s="480"/>
      <c r="I79" s="481" t="s">
        <v>1577</v>
      </c>
      <c r="J79" s="204">
        <v>11.6</v>
      </c>
      <c r="L79" s="204">
        <v>2196.55</v>
      </c>
      <c r="M79" s="430">
        <v>25480</v>
      </c>
      <c r="N79" s="431"/>
      <c r="O79" s="482"/>
      <c r="P79" s="483"/>
      <c r="Q79" s="483"/>
      <c r="R79" s="431"/>
      <c r="S79" s="434"/>
      <c r="T79" s="434"/>
      <c r="U79" s="434"/>
      <c r="V79" s="431">
        <v>5000</v>
      </c>
      <c r="W79" s="434">
        <v>45538</v>
      </c>
      <c r="X79" s="431">
        <v>20480</v>
      </c>
      <c r="Y79" s="484">
        <v>45544</v>
      </c>
      <c r="Z79" s="431"/>
      <c r="AB79" s="431"/>
      <c r="AH79" s="431">
        <f t="shared" si="8"/>
        <v>25480</v>
      </c>
      <c r="AK79" s="432">
        <f t="shared" si="11"/>
        <v>0</v>
      </c>
      <c r="AL79" s="479"/>
      <c r="AM79" s="479"/>
      <c r="AN79" s="485"/>
      <c r="AO79" s="485"/>
      <c r="AP79" s="485"/>
      <c r="AQ79" s="437">
        <v>0.02</v>
      </c>
      <c r="AR79" s="438">
        <f t="shared" si="12"/>
        <v>25480</v>
      </c>
      <c r="AS79" s="431"/>
      <c r="AT79" s="431"/>
      <c r="AU79" s="431"/>
      <c r="AV79" s="431"/>
      <c r="AW79" s="431"/>
      <c r="AX79" s="431"/>
      <c r="AY79" s="242"/>
      <c r="AZ79" s="486"/>
      <c r="BA79" s="431"/>
      <c r="BB79" s="431"/>
      <c r="BC79" s="431"/>
      <c r="BD79" s="431"/>
      <c r="BE79" s="431"/>
      <c r="BN79" s="204">
        <v>25480</v>
      </c>
      <c r="BX79" s="487"/>
      <c r="CJ79" s="104"/>
    </row>
    <row r="80" s="204" customFormat="1" customHeight="1" spans="1:88">
      <c r="D80" s="478"/>
      <c r="F80" s="479"/>
      <c r="G80" s="480"/>
      <c r="H80" s="480"/>
      <c r="I80" s="481" t="s">
        <v>1578</v>
      </c>
      <c r="J80" s="204">
        <v>71.85</v>
      </c>
      <c r="M80" s="430"/>
      <c r="N80" s="431"/>
      <c r="O80" s="482"/>
      <c r="P80" s="483"/>
      <c r="Q80" s="483"/>
      <c r="R80" s="431"/>
      <c r="S80" s="434"/>
      <c r="T80" s="434"/>
      <c r="U80" s="434"/>
      <c r="V80" s="431"/>
      <c r="W80" s="484"/>
      <c r="X80" s="431"/>
      <c r="Y80" s="484"/>
      <c r="Z80" s="431"/>
      <c r="AB80" s="431"/>
      <c r="AH80" s="431">
        <f t="shared" si="8"/>
        <v>0</v>
      </c>
      <c r="AK80" s="432">
        <f t="shared" si="11"/>
        <v>0</v>
      </c>
      <c r="AL80" s="479"/>
      <c r="AM80" s="479"/>
      <c r="AN80" s="485"/>
      <c r="AO80" s="485"/>
      <c r="AP80" s="485"/>
      <c r="AQ80" s="437">
        <v>0.02</v>
      </c>
      <c r="AR80" s="438">
        <f t="shared" si="12"/>
        <v>0</v>
      </c>
      <c r="AS80" s="431"/>
      <c r="AT80" s="431"/>
      <c r="AU80" s="431"/>
      <c r="AV80" s="431"/>
      <c r="AW80" s="431"/>
      <c r="AX80" s="431"/>
      <c r="AY80" s="242"/>
      <c r="AZ80" s="486"/>
      <c r="BA80" s="431"/>
      <c r="BB80" s="431"/>
      <c r="BC80" s="431"/>
      <c r="BD80" s="431"/>
      <c r="BE80" s="431"/>
      <c r="BX80" s="487"/>
      <c r="CJ80" s="104"/>
    </row>
    <row r="81" s="204" customFormat="1" customHeight="1" spans="1:89">
      <c r="D81" s="478"/>
      <c r="F81" s="479"/>
      <c r="G81" s="480" t="s">
        <v>1579</v>
      </c>
      <c r="H81" s="480"/>
      <c r="I81" s="481" t="s">
        <v>1580</v>
      </c>
      <c r="J81" s="204">
        <v>18.65</v>
      </c>
      <c r="L81" s="204">
        <v>2196.25</v>
      </c>
      <c r="M81" s="430">
        <v>40960</v>
      </c>
      <c r="N81" s="431"/>
      <c r="O81" s="482"/>
      <c r="P81" s="483"/>
      <c r="Q81" s="483"/>
      <c r="R81" s="431"/>
      <c r="S81" s="434"/>
      <c r="T81" s="434"/>
      <c r="U81" s="434"/>
      <c r="V81" s="431">
        <v>2000</v>
      </c>
      <c r="W81" s="434">
        <v>45540</v>
      </c>
      <c r="X81" s="431">
        <v>38960</v>
      </c>
      <c r="Y81" s="484">
        <v>45558</v>
      </c>
      <c r="Z81" s="431"/>
      <c r="AB81" s="431"/>
      <c r="AH81" s="431">
        <f t="shared" si="8"/>
        <v>40960</v>
      </c>
      <c r="AK81" s="432">
        <f t="shared" si="11"/>
        <v>0</v>
      </c>
      <c r="AL81" s="479"/>
      <c r="AM81" s="479"/>
      <c r="AN81" s="485"/>
      <c r="AO81" s="485"/>
      <c r="AP81" s="485"/>
      <c r="AQ81" s="437">
        <v>0.02</v>
      </c>
      <c r="AR81" s="438">
        <f t="shared" si="12"/>
        <v>40960</v>
      </c>
      <c r="AS81" s="431"/>
      <c r="AT81" s="431"/>
      <c r="AU81" s="431"/>
      <c r="AV81" s="431"/>
      <c r="AW81" s="431"/>
      <c r="AX81" s="431"/>
      <c r="AY81" s="242"/>
      <c r="AZ81" s="486"/>
      <c r="BA81" s="431"/>
      <c r="BB81" s="431"/>
      <c r="BC81" s="431"/>
      <c r="BD81" s="431"/>
      <c r="BE81" s="431"/>
      <c r="BN81" s="204">
        <v>40960</v>
      </c>
      <c r="BX81" s="487"/>
      <c r="CJ81" s="104"/>
    </row>
    <row r="82" s="204" customFormat="1" customHeight="1" spans="1:89">
      <c r="D82" s="478"/>
      <c r="F82" s="479"/>
      <c r="G82" s="480" t="s">
        <v>1581</v>
      </c>
      <c r="H82" s="480"/>
      <c r="I82" s="481" t="s">
        <v>1582</v>
      </c>
      <c r="J82" s="204">
        <v>18.65</v>
      </c>
      <c r="L82" s="204">
        <v>2196.25</v>
      </c>
      <c r="M82" s="430">
        <v>40960</v>
      </c>
      <c r="N82" s="431"/>
      <c r="O82" s="482"/>
      <c r="P82" s="483"/>
      <c r="Q82" s="483"/>
      <c r="R82" s="431"/>
      <c r="S82" s="434"/>
      <c r="T82" s="434"/>
      <c r="U82" s="434"/>
      <c r="V82" s="431">
        <v>2000</v>
      </c>
      <c r="W82" s="434">
        <v>45537</v>
      </c>
      <c r="X82" s="431">
        <f>5000+33960</f>
        <v>38960</v>
      </c>
      <c r="Y82" s="484">
        <v>45545</v>
      </c>
      <c r="Z82" s="431"/>
      <c r="AB82" s="431"/>
      <c r="AH82" s="431">
        <f t="shared" si="8"/>
        <v>40960</v>
      </c>
      <c r="AK82" s="432">
        <f t="shared" si="11"/>
        <v>0</v>
      </c>
      <c r="AL82" s="479"/>
      <c r="AM82" s="479"/>
      <c r="AN82" s="485"/>
      <c r="AO82" s="485"/>
      <c r="AP82" s="485"/>
      <c r="AQ82" s="437">
        <v>0.02</v>
      </c>
      <c r="AR82" s="438">
        <f t="shared" si="12"/>
        <v>40960</v>
      </c>
      <c r="AS82" s="431"/>
      <c r="AT82" s="431"/>
      <c r="AU82" s="431"/>
      <c r="AV82" s="431"/>
      <c r="AW82" s="431"/>
      <c r="AX82" s="431"/>
      <c r="AY82" s="242"/>
      <c r="AZ82" s="486"/>
      <c r="BA82" s="431"/>
      <c r="BB82" s="431"/>
      <c r="BC82" s="431"/>
      <c r="BD82" s="431"/>
      <c r="BE82" s="431"/>
      <c r="BN82" s="204">
        <v>40960</v>
      </c>
      <c r="BX82" s="487"/>
      <c r="CJ82" s="104"/>
    </row>
    <row r="83" s="204" customFormat="1" customHeight="1" spans="1:89">
      <c r="D83" s="478"/>
      <c r="F83" s="479"/>
      <c r="G83" s="480"/>
      <c r="H83" s="480"/>
      <c r="I83" s="481" t="s">
        <v>1583</v>
      </c>
      <c r="J83" s="204">
        <v>70.14</v>
      </c>
      <c r="M83" s="430"/>
      <c r="N83" s="431"/>
      <c r="O83" s="482"/>
      <c r="P83" s="483"/>
      <c r="Q83" s="483"/>
      <c r="R83" s="431"/>
      <c r="S83" s="434"/>
      <c r="T83" s="434"/>
      <c r="U83" s="434"/>
      <c r="V83" s="431"/>
      <c r="W83" s="484"/>
      <c r="X83" s="431"/>
      <c r="Y83" s="484"/>
      <c r="Z83" s="431"/>
      <c r="AB83" s="431"/>
      <c r="AH83" s="431">
        <f t="shared" si="8"/>
        <v>0</v>
      </c>
      <c r="AK83" s="432">
        <f t="shared" si="11"/>
        <v>0</v>
      </c>
      <c r="AL83" s="479"/>
      <c r="AM83" s="479"/>
      <c r="AN83" s="485"/>
      <c r="AO83" s="485"/>
      <c r="AP83" s="485"/>
      <c r="AQ83" s="437">
        <v>0.02</v>
      </c>
      <c r="AR83" s="438">
        <f t="shared" si="12"/>
        <v>0</v>
      </c>
      <c r="AS83" s="431"/>
      <c r="AT83" s="431"/>
      <c r="AU83" s="431"/>
      <c r="AV83" s="431"/>
      <c r="AW83" s="431"/>
      <c r="AX83" s="431"/>
      <c r="AY83" s="242"/>
      <c r="AZ83" s="486"/>
      <c r="BA83" s="431"/>
      <c r="BB83" s="431"/>
      <c r="BC83" s="431"/>
      <c r="BD83" s="431"/>
      <c r="BE83" s="431"/>
      <c r="BX83" s="487"/>
      <c r="CJ83" s="104"/>
    </row>
    <row r="84" s="204" customFormat="1" customHeight="1" spans="1:89">
      <c r="D84" s="478"/>
      <c r="F84" s="479"/>
      <c r="G84" s="480" t="s">
        <v>1584</v>
      </c>
      <c r="H84" s="480"/>
      <c r="I84" s="481" t="s">
        <v>1585</v>
      </c>
      <c r="J84" s="204">
        <v>11.9</v>
      </c>
      <c r="L84" s="204">
        <v>2194.96</v>
      </c>
      <c r="M84" s="430">
        <v>26120</v>
      </c>
      <c r="N84" s="431"/>
      <c r="O84" s="482"/>
      <c r="P84" s="483"/>
      <c r="Q84" s="483"/>
      <c r="R84" s="431"/>
      <c r="S84" s="434"/>
      <c r="T84" s="434"/>
      <c r="U84" s="434"/>
      <c r="V84" s="431">
        <v>26120</v>
      </c>
      <c r="W84" s="434">
        <v>45536</v>
      </c>
      <c r="X84" s="431"/>
      <c r="Y84" s="484"/>
      <c r="Z84" s="431"/>
      <c r="AB84" s="431"/>
      <c r="AH84" s="431">
        <f t="shared" si="8"/>
        <v>26120</v>
      </c>
      <c r="AK84" s="432">
        <f t="shared" si="11"/>
        <v>0</v>
      </c>
      <c r="AL84" s="479"/>
      <c r="AM84" s="479"/>
      <c r="AN84" s="485"/>
      <c r="AO84" s="485"/>
      <c r="AP84" s="485"/>
      <c r="AQ84" s="437">
        <v>0.02</v>
      </c>
      <c r="AR84" s="438">
        <f t="shared" si="12"/>
        <v>26120</v>
      </c>
      <c r="AS84" s="431"/>
      <c r="AT84" s="431"/>
      <c r="AU84" s="431"/>
      <c r="AV84" s="431"/>
      <c r="AW84" s="431"/>
      <c r="AX84" s="431"/>
      <c r="AY84" s="242"/>
      <c r="AZ84" s="486"/>
      <c r="BA84" s="431"/>
      <c r="BB84" s="431"/>
      <c r="BC84" s="431"/>
      <c r="BD84" s="431"/>
      <c r="BE84" s="431"/>
      <c r="BN84" s="204">
        <v>26120</v>
      </c>
      <c r="BX84" s="487"/>
      <c r="CJ84" s="104"/>
    </row>
    <row r="85" s="204" customFormat="1" customHeight="1" spans="1:89">
      <c r="D85" s="478"/>
      <c r="F85" s="479"/>
      <c r="G85" s="480" t="s">
        <v>1586</v>
      </c>
      <c r="H85" s="480"/>
      <c r="I85" s="481" t="s">
        <v>1587</v>
      </c>
      <c r="J85" s="204">
        <v>14.05</v>
      </c>
      <c r="L85" s="204">
        <v>2195.02</v>
      </c>
      <c r="M85" s="430">
        <v>30840</v>
      </c>
      <c r="N85" s="431"/>
      <c r="O85" s="482"/>
      <c r="P85" s="483"/>
      <c r="Q85" s="483"/>
      <c r="R85" s="431"/>
      <c r="S85" s="434"/>
      <c r="T85" s="434"/>
      <c r="U85" s="434"/>
      <c r="V85" s="431">
        <v>30840</v>
      </c>
      <c r="W85" s="434">
        <v>45536</v>
      </c>
      <c r="X85" s="431"/>
      <c r="Y85" s="484"/>
      <c r="Z85" s="431"/>
      <c r="AB85" s="431"/>
      <c r="AH85" s="431">
        <f t="shared" si="8"/>
        <v>30840</v>
      </c>
      <c r="AK85" s="432">
        <f t="shared" si="11"/>
        <v>0</v>
      </c>
      <c r="AL85" s="479"/>
      <c r="AM85" s="479"/>
      <c r="AN85" s="485"/>
      <c r="AO85" s="485"/>
      <c r="AP85" s="485"/>
      <c r="AQ85" s="437">
        <v>0.02</v>
      </c>
      <c r="AR85" s="438">
        <f t="shared" si="12"/>
        <v>30840</v>
      </c>
      <c r="AS85" s="431"/>
      <c r="AT85" s="431"/>
      <c r="AU85" s="431"/>
      <c r="AV85" s="431"/>
      <c r="AW85" s="431"/>
      <c r="AX85" s="431"/>
      <c r="AY85" s="242"/>
      <c r="AZ85" s="488"/>
      <c r="BA85" s="431"/>
      <c r="BB85" s="431"/>
      <c r="BC85" s="431"/>
      <c r="BD85" s="431"/>
      <c r="BE85" s="431"/>
      <c r="BN85" s="204">
        <v>30840</v>
      </c>
      <c r="BX85" s="487"/>
      <c r="CJ85" s="104"/>
    </row>
    <row r="86" s="204" customFormat="1" customHeight="1" spans="1:89">
      <c r="D86" s="478"/>
      <c r="F86" s="479"/>
      <c r="G86" s="480"/>
      <c r="H86" s="480"/>
      <c r="I86" s="481" t="s">
        <v>1588</v>
      </c>
      <c r="J86" s="204">
        <v>31.42</v>
      </c>
      <c r="L86" s="204">
        <v>2196.05</v>
      </c>
      <c r="M86" s="430"/>
      <c r="N86" s="431">
        <v>69000</v>
      </c>
      <c r="O86" s="482"/>
      <c r="P86" s="483"/>
      <c r="Q86" s="483"/>
      <c r="R86" s="431"/>
      <c r="S86" s="434"/>
      <c r="T86" s="434"/>
      <c r="U86" s="434"/>
      <c r="V86" s="431"/>
      <c r="W86" s="484"/>
      <c r="X86" s="431"/>
      <c r="Y86" s="484"/>
      <c r="Z86" s="431"/>
      <c r="AB86" s="431"/>
      <c r="AH86" s="431">
        <f t="shared" si="8"/>
        <v>0</v>
      </c>
      <c r="AK86" s="432">
        <f t="shared" si="11"/>
        <v>0</v>
      </c>
      <c r="AL86" s="479"/>
      <c r="AM86" s="479"/>
      <c r="AN86" s="485"/>
      <c r="AO86" s="485"/>
      <c r="AP86" s="485"/>
      <c r="AQ86" s="489"/>
      <c r="AR86" s="438"/>
      <c r="AS86" s="431"/>
      <c r="AT86" s="431"/>
      <c r="AU86" s="431"/>
      <c r="AV86" s="431"/>
      <c r="AW86" s="431"/>
      <c r="AX86" s="431"/>
      <c r="AY86" s="242"/>
      <c r="AZ86" s="488"/>
      <c r="BA86" s="431"/>
      <c r="BB86" s="431"/>
      <c r="BC86" s="431"/>
      <c r="BD86" s="431"/>
      <c r="BE86" s="431"/>
      <c r="BX86" s="487"/>
      <c r="CJ86" s="104"/>
    </row>
    <row r="87" s="385" customFormat="1" ht="46" customHeight="1" spans="1:89">
      <c r="A87" s="385">
        <v>45</v>
      </c>
      <c r="C87" s="146">
        <v>45023</v>
      </c>
      <c r="D87" s="472">
        <v>20230003140</v>
      </c>
      <c r="F87" s="456" t="s">
        <v>1589</v>
      </c>
      <c r="G87" s="456" t="s">
        <v>1590</v>
      </c>
      <c r="H87" s="1030" t="s">
        <v>1591</v>
      </c>
      <c r="I87" s="441" t="s">
        <v>1592</v>
      </c>
      <c r="J87" s="385">
        <v>117.5</v>
      </c>
      <c r="K87" s="385">
        <v>117.5</v>
      </c>
      <c r="L87" s="385">
        <v>8050</v>
      </c>
      <c r="M87" s="464">
        <f>945956-81</f>
        <v>945875</v>
      </c>
      <c r="N87" s="465">
        <v>8017</v>
      </c>
      <c r="O87" s="473">
        <v>867775.23</v>
      </c>
      <c r="P87" s="474" t="s">
        <v>1593</v>
      </c>
      <c r="Q87" s="476">
        <v>45656</v>
      </c>
      <c r="R87" s="145"/>
      <c r="S87" s="393"/>
      <c r="T87" s="445" t="s">
        <v>1594</v>
      </c>
      <c r="U87" s="445" t="s">
        <v>1595</v>
      </c>
      <c r="V87" s="145">
        <f>2000</f>
        <v>2000</v>
      </c>
      <c r="W87" s="146">
        <v>44755</v>
      </c>
      <c r="X87" s="145">
        <v>20000</v>
      </c>
      <c r="Y87" s="466" t="s">
        <v>1596</v>
      </c>
      <c r="Z87" s="145">
        <v>116956</v>
      </c>
      <c r="AA87" s="146" t="s">
        <v>1597</v>
      </c>
      <c r="AB87" s="145">
        <v>209000</v>
      </c>
      <c r="AC87" s="385" t="s">
        <v>1341</v>
      </c>
      <c r="AD87" s="145">
        <v>600000</v>
      </c>
      <c r="AE87" s="393" t="s">
        <v>994</v>
      </c>
      <c r="AF87" s="385">
        <v>-81</v>
      </c>
      <c r="AH87" s="145">
        <f t="shared" ref="AH87:AH119" si="13">V87+X87+Z87+AB87+AD87+AF87</f>
        <v>947875</v>
      </c>
      <c r="AK87" s="390">
        <f t="shared" si="11"/>
        <v>-2000</v>
      </c>
      <c r="AL87" s="456" t="s">
        <v>1598</v>
      </c>
      <c r="AM87" s="456"/>
      <c r="AN87" s="475"/>
      <c r="AO87" s="475"/>
      <c r="AP87" s="475"/>
      <c r="AQ87" s="395">
        <f>0.6%+0.14%</f>
        <v>0.0074</v>
      </c>
      <c r="AR87" s="447">
        <f t="shared" ref="AR87:AR133" si="14">SUM(AU87:BU87)</f>
        <v>945956</v>
      </c>
      <c r="AS87" s="145">
        <f>100</f>
        <v>100</v>
      </c>
      <c r="AT87" s="145"/>
      <c r="AU87" s="145"/>
      <c r="AV87" s="145"/>
      <c r="AW87" s="145"/>
      <c r="AX87" s="145">
        <v>345956</v>
      </c>
      <c r="AY87" s="223"/>
      <c r="AZ87" s="452"/>
      <c r="BA87" s="145">
        <v>600000</v>
      </c>
      <c r="BB87" s="145"/>
      <c r="BC87" s="145"/>
      <c r="BD87" s="145"/>
      <c r="BE87" s="145"/>
      <c r="BX87" s="459"/>
      <c r="BZ87" s="385" t="s">
        <v>260</v>
      </c>
      <c r="CA87" s="385" t="s">
        <v>271</v>
      </c>
      <c r="CB87" s="385" t="s">
        <v>261</v>
      </c>
      <c r="CE87" s="204"/>
    </row>
    <row r="88" s="385" customFormat="1" customHeight="1" spans="1:89">
      <c r="A88" s="204">
        <v>46</v>
      </c>
      <c r="B88" s="204"/>
      <c r="C88" s="478"/>
      <c r="D88" s="204"/>
      <c r="E88" s="478"/>
      <c r="F88" s="479" t="s">
        <v>1599</v>
      </c>
      <c r="G88" s="490" t="s">
        <v>1600</v>
      </c>
      <c r="H88" s="1033" t="s">
        <v>1601</v>
      </c>
      <c r="I88" s="491" t="s">
        <v>1602</v>
      </c>
      <c r="J88" s="204">
        <v>116.67</v>
      </c>
      <c r="K88" s="204"/>
      <c r="L88" s="204"/>
      <c r="M88" s="492"/>
      <c r="N88" s="493">
        <v>8237</v>
      </c>
      <c r="O88" s="482"/>
      <c r="P88" s="483"/>
      <c r="Q88" s="483"/>
      <c r="R88" s="431"/>
      <c r="S88" s="494">
        <v>45874</v>
      </c>
      <c r="T88" s="494"/>
      <c r="U88" s="494" t="s">
        <v>294</v>
      </c>
      <c r="V88" s="431">
        <v>20000</v>
      </c>
      <c r="W88" s="494" t="s">
        <v>1603</v>
      </c>
      <c r="X88" s="431">
        <v>-20000</v>
      </c>
      <c r="Y88" s="494">
        <v>45874</v>
      </c>
      <c r="Z88" s="431"/>
      <c r="AA88" s="484"/>
      <c r="AB88" s="431"/>
      <c r="AC88" s="484"/>
      <c r="AD88" s="484"/>
      <c r="AE88" s="484"/>
      <c r="AF88" s="484"/>
      <c r="AG88" s="484"/>
      <c r="AH88" s="431">
        <f t="shared" si="13"/>
        <v>0</v>
      </c>
      <c r="AI88" s="204"/>
      <c r="AJ88" s="204"/>
      <c r="AK88" s="432">
        <f t="shared" si="11"/>
        <v>0</v>
      </c>
      <c r="AL88" s="479" t="s">
        <v>1604</v>
      </c>
      <c r="AM88" s="479"/>
      <c r="AN88" s="485"/>
      <c r="AO88" s="485"/>
      <c r="AP88" s="485"/>
      <c r="AQ88" s="495"/>
      <c r="AR88" s="438">
        <f t="shared" si="14"/>
        <v>0</v>
      </c>
      <c r="AS88" s="431"/>
      <c r="AT88" s="431">
        <f>100+100</f>
        <v>200</v>
      </c>
      <c r="AU88" s="431"/>
      <c r="AV88" s="431"/>
      <c r="AW88" s="431"/>
      <c r="AX88" s="431"/>
      <c r="AY88" s="242"/>
      <c r="AZ88" s="486"/>
      <c r="BA88" s="431"/>
      <c r="BB88" s="431"/>
      <c r="BC88" s="431"/>
      <c r="BD88" s="431"/>
      <c r="BE88" s="431"/>
      <c r="BF88" s="204"/>
      <c r="BG88" s="204"/>
      <c r="BH88" s="204"/>
      <c r="BI88" s="204"/>
      <c r="BJ88" s="204"/>
      <c r="BK88" s="204"/>
      <c r="BL88" s="204"/>
      <c r="BM88" s="204"/>
      <c r="BN88" s="204"/>
      <c r="BO88" s="204"/>
      <c r="BP88" s="204"/>
      <c r="BQ88" s="204"/>
      <c r="BR88" s="204"/>
      <c r="BS88" s="204"/>
      <c r="BT88" s="204"/>
      <c r="BU88" s="204"/>
      <c r="BV88" s="204"/>
      <c r="BW88" s="204"/>
      <c r="BX88" s="487"/>
      <c r="BY88" s="204"/>
      <c r="BZ88" s="204"/>
      <c r="CA88" s="204"/>
      <c r="CB88" s="204" t="s">
        <v>261</v>
      </c>
      <c r="CC88" s="204"/>
      <c r="CD88" s="204"/>
      <c r="CE88" s="204"/>
      <c r="CF88" s="204"/>
      <c r="CG88" s="204"/>
      <c r="CH88" s="204"/>
      <c r="CI88" s="204"/>
      <c r="CJ88" s="204"/>
      <c r="CK88" s="204"/>
    </row>
    <row r="89" s="385" customFormat="1" customHeight="1" spans="1:89">
      <c r="A89" s="385">
        <v>47</v>
      </c>
      <c r="C89" s="146">
        <v>45520</v>
      </c>
      <c r="D89" s="448">
        <v>20240004715</v>
      </c>
      <c r="E89" s="385" t="s">
        <v>1605</v>
      </c>
      <c r="F89" s="456" t="s">
        <v>1606</v>
      </c>
      <c r="G89" s="448" t="s">
        <v>1607</v>
      </c>
      <c r="H89" s="448"/>
      <c r="I89" s="441" t="s">
        <v>1608</v>
      </c>
      <c r="J89" s="385">
        <v>115.94</v>
      </c>
      <c r="K89" s="385">
        <v>115.94</v>
      </c>
      <c r="L89" s="385">
        <f>M89/K89</f>
        <v>6190.71933758841</v>
      </c>
      <c r="M89" s="464">
        <f>717813-61</f>
        <v>717752</v>
      </c>
      <c r="N89" s="385">
        <v>6190.71</v>
      </c>
      <c r="O89" s="473">
        <v>658488.07</v>
      </c>
      <c r="P89" s="474" t="s">
        <v>1609</v>
      </c>
      <c r="Q89" s="476">
        <v>45719</v>
      </c>
      <c r="R89" s="145"/>
      <c r="S89" s="393"/>
      <c r="T89" s="393"/>
      <c r="U89" s="393"/>
      <c r="V89" s="145">
        <v>717813</v>
      </c>
      <c r="W89" s="393" t="s">
        <v>754</v>
      </c>
      <c r="X89" s="145">
        <v>-62</v>
      </c>
      <c r="Y89" s="146"/>
      <c r="Z89" s="145"/>
      <c r="AA89" s="146"/>
      <c r="AB89" s="145"/>
      <c r="AC89" s="146"/>
      <c r="AD89" s="146"/>
      <c r="AE89" s="146"/>
      <c r="AF89" s="146"/>
      <c r="AG89" s="146"/>
      <c r="AH89" s="145">
        <f t="shared" si="13"/>
        <v>717751</v>
      </c>
      <c r="AK89" s="390">
        <f t="shared" ref="AK89:AK152" si="15">M89-AH89</f>
        <v>1</v>
      </c>
      <c r="AL89" s="456"/>
      <c r="AM89" s="456"/>
      <c r="AN89" s="475"/>
      <c r="AO89" s="475"/>
      <c r="AP89" s="475"/>
      <c r="AQ89" s="395"/>
      <c r="AR89" s="447">
        <f t="shared" si="14"/>
        <v>0</v>
      </c>
      <c r="AS89" s="145"/>
      <c r="AT89" s="145"/>
      <c r="AU89" s="145"/>
      <c r="AV89" s="145"/>
      <c r="AW89" s="145"/>
      <c r="AX89" s="145"/>
      <c r="AY89" s="449"/>
      <c r="AZ89" s="450"/>
      <c r="BA89" s="145"/>
      <c r="BB89" s="145"/>
      <c r="BC89" s="145"/>
      <c r="BD89" s="145"/>
      <c r="BE89" s="145"/>
      <c r="BX89" s="459"/>
      <c r="BZ89" s="385" t="s">
        <v>260</v>
      </c>
      <c r="CB89" s="385" t="s">
        <v>261</v>
      </c>
      <c r="CE89" s="204"/>
    </row>
    <row r="90" s="385" customFormat="1" customHeight="1" spans="1:89">
      <c r="A90" s="385">
        <v>48</v>
      </c>
      <c r="C90" s="146">
        <v>45086</v>
      </c>
      <c r="D90" s="472">
        <v>20230004693</v>
      </c>
      <c r="F90" s="456" t="s">
        <v>1610</v>
      </c>
      <c r="G90" s="448" t="s">
        <v>1611</v>
      </c>
      <c r="H90" s="448"/>
      <c r="I90" s="451" t="s">
        <v>1612</v>
      </c>
      <c r="J90" s="385">
        <v>115.58</v>
      </c>
      <c r="K90" s="385">
        <v>115.58</v>
      </c>
      <c r="L90" s="385">
        <f>M90/K90</f>
        <v>5600</v>
      </c>
      <c r="M90" s="464">
        <f>647304-56</f>
        <v>647248</v>
      </c>
      <c r="N90" s="385">
        <v>5580.99</v>
      </c>
      <c r="O90" s="473">
        <v>593805.5</v>
      </c>
      <c r="P90" s="474" t="s">
        <v>1613</v>
      </c>
      <c r="Q90" s="476">
        <v>45656</v>
      </c>
      <c r="R90" s="145"/>
      <c r="S90" s="393"/>
      <c r="T90" s="393"/>
      <c r="U90" s="393" t="s">
        <v>267</v>
      </c>
      <c r="V90" s="145">
        <v>7304</v>
      </c>
      <c r="W90" s="393" t="s">
        <v>1614</v>
      </c>
      <c r="X90" s="145">
        <v>140000</v>
      </c>
      <c r="Y90" s="393" t="s">
        <v>977</v>
      </c>
      <c r="Z90" s="145">
        <v>50000</v>
      </c>
      <c r="AA90" s="146" t="s">
        <v>324</v>
      </c>
      <c r="AB90" s="145">
        <v>450000</v>
      </c>
      <c r="AC90" s="393" t="s">
        <v>296</v>
      </c>
      <c r="AD90" s="385">
        <v>-56</v>
      </c>
      <c r="AE90" s="146">
        <v>45909</v>
      </c>
      <c r="AH90" s="145">
        <f t="shared" si="13"/>
        <v>647248</v>
      </c>
      <c r="AK90" s="390">
        <f t="shared" si="15"/>
        <v>0</v>
      </c>
      <c r="AL90" s="456" t="s">
        <v>1615</v>
      </c>
      <c r="AM90" s="456"/>
      <c r="AN90" s="475"/>
      <c r="AO90" s="475"/>
      <c r="AP90" s="475"/>
      <c r="AQ90" s="395">
        <f>0.4%+0.08%</f>
        <v>0.0048</v>
      </c>
      <c r="AR90" s="447">
        <f t="shared" si="14"/>
        <v>647304</v>
      </c>
      <c r="AS90" s="145"/>
      <c r="AT90" s="145">
        <v>100</v>
      </c>
      <c r="AU90" s="145"/>
      <c r="AV90" s="145"/>
      <c r="AW90" s="145"/>
      <c r="AX90" s="145"/>
      <c r="AY90" s="223"/>
      <c r="AZ90" s="300"/>
      <c r="BA90" s="145">
        <v>147304</v>
      </c>
      <c r="BB90" s="145"/>
      <c r="BC90" s="145"/>
      <c r="BD90" s="145"/>
      <c r="BE90" s="145"/>
      <c r="BJ90" s="385">
        <v>500000</v>
      </c>
      <c r="BX90" s="459"/>
      <c r="BZ90" s="385" t="s">
        <v>260</v>
      </c>
      <c r="CA90" s="385" t="s">
        <v>271</v>
      </c>
      <c r="CB90" s="385" t="s">
        <v>261</v>
      </c>
      <c r="CE90" s="204"/>
    </row>
    <row r="91" s="385" customFormat="1" customHeight="1" spans="1:89">
      <c r="A91" s="385">
        <v>49</v>
      </c>
      <c r="C91" s="146">
        <v>45047</v>
      </c>
      <c r="D91" s="472">
        <v>20230005310</v>
      </c>
      <c r="F91" s="456" t="s">
        <v>1616</v>
      </c>
      <c r="G91" s="468" t="s">
        <v>1617</v>
      </c>
      <c r="H91" s="1028" t="s">
        <v>1618</v>
      </c>
      <c r="I91" s="441" t="s">
        <v>1619</v>
      </c>
      <c r="J91" s="385">
        <v>115.94</v>
      </c>
      <c r="K91" s="385">
        <v>115.94</v>
      </c>
      <c r="L91" s="385">
        <v>5373.61</v>
      </c>
      <c r="M91" s="464">
        <f>623070-54</f>
        <v>623016</v>
      </c>
      <c r="O91" s="473">
        <v>571574.31</v>
      </c>
      <c r="P91" s="474" t="s">
        <v>1620</v>
      </c>
      <c r="Q91" s="476">
        <v>45651</v>
      </c>
      <c r="R91" s="145"/>
      <c r="S91" s="393"/>
      <c r="T91" s="468" t="s">
        <v>1617</v>
      </c>
      <c r="U91" s="468" t="s">
        <v>1621</v>
      </c>
      <c r="V91" s="145">
        <v>20000</v>
      </c>
      <c r="W91" s="496" t="s">
        <v>1622</v>
      </c>
      <c r="X91" s="145">
        <v>23070</v>
      </c>
      <c r="Y91" s="471" t="s">
        <v>1623</v>
      </c>
      <c r="Z91" s="145">
        <v>50000</v>
      </c>
      <c r="AA91" s="393" t="s">
        <v>994</v>
      </c>
      <c r="AB91" s="145">
        <v>70000</v>
      </c>
      <c r="AC91" s="393" t="s">
        <v>1624</v>
      </c>
      <c r="AD91" s="145">
        <v>460000</v>
      </c>
      <c r="AE91" s="393" t="s">
        <v>1625</v>
      </c>
      <c r="AF91" s="448">
        <v>-54</v>
      </c>
      <c r="AG91" s="146"/>
      <c r="AH91" s="145">
        <f t="shared" si="13"/>
        <v>623016</v>
      </c>
      <c r="AK91" s="390">
        <f t="shared" si="15"/>
        <v>0</v>
      </c>
      <c r="AL91" s="456" t="s">
        <v>1626</v>
      </c>
      <c r="AM91" s="456"/>
      <c r="AN91" s="475"/>
      <c r="AO91" s="475"/>
      <c r="AP91" s="475"/>
      <c r="AQ91" s="395">
        <f>0.6%+0.14%+0.06%</f>
        <v>0.008</v>
      </c>
      <c r="AR91" s="447">
        <f t="shared" si="14"/>
        <v>623070</v>
      </c>
      <c r="AS91" s="145"/>
      <c r="AT91" s="145">
        <v>100</v>
      </c>
      <c r="AU91" s="145"/>
      <c r="AV91" s="145"/>
      <c r="AW91" s="145"/>
      <c r="AX91" s="145"/>
      <c r="AY91" s="223"/>
      <c r="AZ91" s="300"/>
      <c r="BA91" s="145"/>
      <c r="BB91" s="145">
        <v>163070</v>
      </c>
      <c r="BC91" s="145"/>
      <c r="BD91" s="145">
        <v>460000</v>
      </c>
      <c r="BE91" s="145"/>
      <c r="BX91" s="459"/>
      <c r="BZ91" s="385" t="s">
        <v>260</v>
      </c>
      <c r="CA91" s="385" t="s">
        <v>271</v>
      </c>
      <c r="CB91" s="385" t="s">
        <v>261</v>
      </c>
      <c r="CE91" s="204"/>
    </row>
    <row r="92" s="385" customFormat="1" customHeight="1" spans="1:89">
      <c r="A92" s="385">
        <v>50</v>
      </c>
      <c r="C92" s="146">
        <v>45074</v>
      </c>
      <c r="D92" s="472">
        <v>20230004501</v>
      </c>
      <c r="F92" s="1026" t="s">
        <v>1627</v>
      </c>
      <c r="G92" s="468" t="s">
        <v>1628</v>
      </c>
      <c r="H92" s="1028" t="s">
        <v>1629</v>
      </c>
      <c r="I92" s="451" t="s">
        <v>1630</v>
      </c>
      <c r="J92" s="385">
        <v>115.58</v>
      </c>
      <c r="K92" s="385">
        <v>115.58</v>
      </c>
      <c r="L92" s="385">
        <v>5382.96</v>
      </c>
      <c r="M92" s="464">
        <f>622216-54</f>
        <v>622162</v>
      </c>
      <c r="O92" s="473">
        <v>570790.83</v>
      </c>
      <c r="P92" s="474" t="s">
        <v>1631</v>
      </c>
      <c r="Q92" s="476">
        <v>45656</v>
      </c>
      <c r="R92" s="145"/>
      <c r="S92" s="393"/>
      <c r="T92" s="468" t="s">
        <v>1628</v>
      </c>
      <c r="U92" s="468" t="s">
        <v>1632</v>
      </c>
      <c r="V92" s="145">
        <v>20000</v>
      </c>
      <c r="W92" s="146" t="s">
        <v>1633</v>
      </c>
      <c r="X92" s="145">
        <v>150000</v>
      </c>
      <c r="Y92" s="146" t="s">
        <v>1349</v>
      </c>
      <c r="Z92" s="145">
        <v>17216</v>
      </c>
      <c r="AA92" s="146" t="s">
        <v>1634</v>
      </c>
      <c r="AB92" s="145">
        <v>435000</v>
      </c>
      <c r="AC92" s="393" t="s">
        <v>926</v>
      </c>
      <c r="AD92" s="385">
        <v>-54</v>
      </c>
      <c r="AE92" s="146">
        <v>45909</v>
      </c>
      <c r="AH92" s="145">
        <f t="shared" si="13"/>
        <v>622162</v>
      </c>
      <c r="AK92" s="390">
        <f t="shared" si="15"/>
        <v>0</v>
      </c>
      <c r="AL92" s="456" t="s">
        <v>1635</v>
      </c>
      <c r="AM92" s="456"/>
      <c r="AN92" s="475"/>
      <c r="AO92" s="475"/>
      <c r="AP92" s="475"/>
      <c r="AQ92" s="395">
        <f>0.4%+0.05%+0.14%</f>
        <v>0.0059</v>
      </c>
      <c r="AR92" s="447">
        <f t="shared" si="14"/>
        <v>622216</v>
      </c>
      <c r="AS92" s="145"/>
      <c r="AT92" s="145">
        <v>100</v>
      </c>
      <c r="AU92" s="145"/>
      <c r="AV92" s="145"/>
      <c r="AW92" s="145"/>
      <c r="AX92" s="145"/>
      <c r="AY92" s="223">
        <v>187216</v>
      </c>
      <c r="AZ92" s="452"/>
      <c r="BA92" s="145">
        <v>435000</v>
      </c>
      <c r="BB92" s="145"/>
      <c r="BC92" s="145"/>
      <c r="BD92" s="145"/>
      <c r="BE92" s="145"/>
      <c r="BX92" s="459"/>
      <c r="BZ92" s="385" t="s">
        <v>260</v>
      </c>
      <c r="CA92" s="385" t="s">
        <v>271</v>
      </c>
      <c r="CB92" s="385" t="s">
        <v>261</v>
      </c>
      <c r="CE92" s="204"/>
    </row>
    <row r="93" s="385" customFormat="1" customHeight="1" spans="1:89">
      <c r="A93" s="385">
        <v>51</v>
      </c>
      <c r="C93" s="146">
        <v>44967</v>
      </c>
      <c r="D93" s="472">
        <v>20230001273</v>
      </c>
      <c r="F93" s="456" t="s">
        <v>1636</v>
      </c>
      <c r="G93" s="448" t="s">
        <v>1637</v>
      </c>
      <c r="H93" s="1030" t="s">
        <v>1638</v>
      </c>
      <c r="I93" s="441" t="s">
        <v>1639</v>
      </c>
      <c r="J93" s="385">
        <v>115.94</v>
      </c>
      <c r="K93" s="385">
        <v>115.94</v>
      </c>
      <c r="L93" s="385">
        <v>5167.38</v>
      </c>
      <c r="M93" s="464">
        <f>599158-52</f>
        <v>599106</v>
      </c>
      <c r="O93" s="473">
        <v>549638.53</v>
      </c>
      <c r="P93" s="474" t="s">
        <v>1640</v>
      </c>
      <c r="Q93" s="476">
        <v>45656</v>
      </c>
      <c r="R93" s="145"/>
      <c r="S93" s="393"/>
      <c r="T93" s="394" t="s">
        <v>1641</v>
      </c>
      <c r="U93" s="393" t="s">
        <v>1642</v>
      </c>
      <c r="V93" s="145">
        <v>199158</v>
      </c>
      <c r="W93" s="146" t="s">
        <v>1228</v>
      </c>
      <c r="X93" s="145">
        <v>200000</v>
      </c>
      <c r="Y93" s="146" t="s">
        <v>1643</v>
      </c>
      <c r="Z93" s="145">
        <v>200000</v>
      </c>
      <c r="AA93" s="146" t="s">
        <v>1644</v>
      </c>
      <c r="AB93" s="145">
        <v>-52</v>
      </c>
      <c r="AH93" s="145">
        <f t="shared" si="13"/>
        <v>599106</v>
      </c>
      <c r="AK93" s="390">
        <f t="shared" si="15"/>
        <v>0</v>
      </c>
      <c r="AL93" s="456" t="s">
        <v>1645</v>
      </c>
      <c r="AM93" s="456"/>
      <c r="AN93" s="475"/>
      <c r="AO93" s="475"/>
      <c r="AP93" s="475"/>
      <c r="AQ93" s="395">
        <f>0.6%+0.04%+0.1%</f>
        <v>0.0074</v>
      </c>
      <c r="AR93" s="447">
        <f t="shared" si="14"/>
        <v>599158</v>
      </c>
      <c r="AS93" s="145"/>
      <c r="AT93" s="145">
        <v>100</v>
      </c>
      <c r="AU93" s="145"/>
      <c r="AV93" s="145">
        <v>399158</v>
      </c>
      <c r="AW93" s="145"/>
      <c r="AX93" s="145"/>
      <c r="AY93" s="449">
        <v>200000</v>
      </c>
      <c r="AZ93" s="450"/>
      <c r="BA93" s="145"/>
      <c r="BB93" s="145"/>
      <c r="BC93" s="145"/>
      <c r="BD93" s="145"/>
      <c r="BE93" s="145"/>
      <c r="BX93" s="459"/>
      <c r="BZ93" s="385" t="s">
        <v>260</v>
      </c>
      <c r="CA93" s="385" t="s">
        <v>271</v>
      </c>
      <c r="CB93" s="385" t="s">
        <v>261</v>
      </c>
      <c r="CE93" s="204"/>
    </row>
    <row r="94" s="385" customFormat="1" customHeight="1" spans="1:89">
      <c r="A94" s="385">
        <v>52</v>
      </c>
      <c r="C94" s="146">
        <v>44966</v>
      </c>
      <c r="D94" s="470">
        <v>20230001131</v>
      </c>
      <c r="F94" s="456" t="s">
        <v>1646</v>
      </c>
      <c r="G94" s="448" t="s">
        <v>1647</v>
      </c>
      <c r="H94" s="1030" t="s">
        <v>1648</v>
      </c>
      <c r="I94" s="451" t="s">
        <v>1649</v>
      </c>
      <c r="J94" s="385">
        <v>115.58</v>
      </c>
      <c r="K94" s="385">
        <v>115.58</v>
      </c>
      <c r="L94" s="385">
        <v>5176.38</v>
      </c>
      <c r="M94" s="389">
        <f>598338-52</f>
        <v>598286</v>
      </c>
      <c r="O94" s="473">
        <v>548886.24</v>
      </c>
      <c r="P94" s="497" t="s">
        <v>1650</v>
      </c>
      <c r="Q94" s="476">
        <v>45656</v>
      </c>
      <c r="R94" s="145"/>
      <c r="S94" s="498"/>
      <c r="T94" s="499" t="s">
        <v>1651</v>
      </c>
      <c r="U94" s="500" t="s">
        <v>1652</v>
      </c>
      <c r="V94" s="385">
        <v>108338</v>
      </c>
      <c r="W94" s="146" t="s">
        <v>1259</v>
      </c>
      <c r="X94" s="145">
        <v>150000</v>
      </c>
      <c r="Y94" s="146" t="s">
        <v>1597</v>
      </c>
      <c r="Z94" s="145">
        <v>340000</v>
      </c>
      <c r="AA94" s="146" t="s">
        <v>1653</v>
      </c>
      <c r="AB94" s="145">
        <v>-52</v>
      </c>
      <c r="AC94" s="496"/>
      <c r="AD94" s="496"/>
      <c r="AE94" s="496"/>
      <c r="AF94" s="496"/>
      <c r="AG94" s="496"/>
      <c r="AH94" s="145">
        <f t="shared" si="13"/>
        <v>598286</v>
      </c>
      <c r="AK94" s="390">
        <f t="shared" si="15"/>
        <v>0</v>
      </c>
      <c r="AL94" s="456" t="s">
        <v>1654</v>
      </c>
      <c r="AM94" s="456"/>
      <c r="AN94" s="469"/>
      <c r="AO94" s="469"/>
      <c r="AP94" s="469"/>
      <c r="AQ94" s="395">
        <f>0.4%+0.04%+0.1%</f>
        <v>0.0054</v>
      </c>
      <c r="AR94" s="447">
        <f t="shared" si="14"/>
        <v>598338</v>
      </c>
      <c r="AS94" s="145">
        <f>100</f>
        <v>100</v>
      </c>
      <c r="AT94" s="145">
        <v>100</v>
      </c>
      <c r="AU94" s="145"/>
      <c r="AV94" s="145"/>
      <c r="AW94" s="145"/>
      <c r="AX94" s="145">
        <v>258338</v>
      </c>
      <c r="AY94" s="449"/>
      <c r="AZ94" s="460">
        <v>340000</v>
      </c>
      <c r="BA94" s="145"/>
      <c r="BB94" s="145"/>
      <c r="BC94" s="145"/>
      <c r="BD94" s="145"/>
      <c r="BE94" s="145"/>
      <c r="BX94" s="459"/>
      <c r="BZ94" s="385" t="s">
        <v>260</v>
      </c>
      <c r="CA94" s="385" t="s">
        <v>271</v>
      </c>
      <c r="CB94" s="385" t="s">
        <v>261</v>
      </c>
      <c r="CE94" s="204"/>
    </row>
    <row r="95" s="385" customFormat="1" ht="50" customHeight="1" spans="1:89">
      <c r="A95" s="385">
        <v>53</v>
      </c>
      <c r="C95" s="146">
        <v>44964</v>
      </c>
      <c r="D95" s="472">
        <v>20230000938</v>
      </c>
      <c r="F95" s="456" t="s">
        <v>1655</v>
      </c>
      <c r="G95" s="468" t="s">
        <v>1656</v>
      </c>
      <c r="H95" s="468"/>
      <c r="I95" s="441" t="s">
        <v>1657</v>
      </c>
      <c r="J95" s="385">
        <v>115.94</v>
      </c>
      <c r="K95" s="385">
        <v>115.94</v>
      </c>
      <c r="L95" s="385">
        <v>5338.51</v>
      </c>
      <c r="M95" s="464">
        <f>-53+619000</f>
        <v>618947</v>
      </c>
      <c r="N95" s="465"/>
      <c r="O95" s="473">
        <v>567841.28</v>
      </c>
      <c r="P95" s="474" t="s">
        <v>1658</v>
      </c>
      <c r="Q95" s="476">
        <v>45656</v>
      </c>
      <c r="R95" s="145"/>
      <c r="S95" s="445"/>
      <c r="T95" s="445" t="s">
        <v>1656</v>
      </c>
      <c r="U95" s="445" t="s">
        <v>1656</v>
      </c>
      <c r="V95" s="145">
        <v>619000</v>
      </c>
      <c r="W95" s="471" t="s">
        <v>1324</v>
      </c>
      <c r="X95" s="145">
        <v>-53</v>
      </c>
      <c r="Y95" s="146">
        <v>45909</v>
      </c>
      <c r="Z95" s="145"/>
      <c r="AB95" s="145"/>
      <c r="AH95" s="145">
        <f t="shared" si="13"/>
        <v>618947</v>
      </c>
      <c r="AK95" s="390">
        <f t="shared" si="15"/>
        <v>0</v>
      </c>
      <c r="AL95" s="456" t="s">
        <v>1659</v>
      </c>
      <c r="AM95" s="456"/>
      <c r="AN95" s="475"/>
      <c r="AO95" s="475"/>
      <c r="AP95" s="475"/>
      <c r="AQ95" s="395">
        <f>0.6%+0.06%+0.14%</f>
        <v>0.008</v>
      </c>
      <c r="AR95" s="447">
        <f t="shared" si="14"/>
        <v>619000</v>
      </c>
      <c r="AS95" s="145">
        <f>100+100</f>
        <v>200</v>
      </c>
      <c r="AT95" s="145">
        <v>100</v>
      </c>
      <c r="AU95" s="145"/>
      <c r="AV95" s="145">
        <v>619000</v>
      </c>
      <c r="AW95" s="145"/>
      <c r="AX95" s="145"/>
      <c r="AY95" s="449"/>
      <c r="AZ95" s="450"/>
      <c r="BA95" s="145"/>
      <c r="BB95" s="145"/>
      <c r="BC95" s="145"/>
      <c r="BD95" s="145"/>
      <c r="BE95" s="145"/>
      <c r="BZ95" s="385" t="s">
        <v>260</v>
      </c>
      <c r="CA95" s="385" t="s">
        <v>271</v>
      </c>
      <c r="CB95" s="385" t="s">
        <v>261</v>
      </c>
      <c r="CE95" s="204"/>
    </row>
    <row r="96" s="385" customFormat="1" customHeight="1" spans="1:89">
      <c r="A96" s="385">
        <v>54</v>
      </c>
      <c r="C96" s="146">
        <v>44965</v>
      </c>
      <c r="D96" s="472">
        <v>20230001016</v>
      </c>
      <c r="F96" s="456" t="s">
        <v>1660</v>
      </c>
      <c r="G96" s="468" t="s">
        <v>1661</v>
      </c>
      <c r="H96" s="468"/>
      <c r="I96" s="451" t="s">
        <v>1662</v>
      </c>
      <c r="J96" s="385">
        <v>115.58</v>
      </c>
      <c r="K96" s="385">
        <v>115.58</v>
      </c>
      <c r="L96" s="385">
        <v>5226.39</v>
      </c>
      <c r="M96" s="464">
        <f>-52+604118</f>
        <v>604066</v>
      </c>
      <c r="N96" s="465"/>
      <c r="O96" s="473">
        <v>554188.99</v>
      </c>
      <c r="P96" s="474" t="s">
        <v>1663</v>
      </c>
      <c r="Q96" s="476">
        <v>45656</v>
      </c>
      <c r="R96" s="145"/>
      <c r="S96" s="393"/>
      <c r="T96" s="453" t="s">
        <v>1664</v>
      </c>
      <c r="U96" s="445" t="s">
        <v>1665</v>
      </c>
      <c r="V96" s="145">
        <v>124118</v>
      </c>
      <c r="W96" s="146" t="s">
        <v>1363</v>
      </c>
      <c r="X96" s="145">
        <v>480000</v>
      </c>
      <c r="Y96" s="393" t="s">
        <v>1666</v>
      </c>
      <c r="Z96" s="145">
        <v>-52</v>
      </c>
      <c r="AA96" s="146"/>
      <c r="AB96" s="145"/>
      <c r="AC96" s="146"/>
      <c r="AD96" s="146"/>
      <c r="AE96" s="146"/>
      <c r="AF96" s="146"/>
      <c r="AG96" s="146"/>
      <c r="AH96" s="145">
        <f t="shared" si="13"/>
        <v>604066</v>
      </c>
      <c r="AK96" s="390">
        <f t="shared" si="15"/>
        <v>0</v>
      </c>
      <c r="AL96" s="456" t="s">
        <v>1667</v>
      </c>
      <c r="AM96" s="456"/>
      <c r="AN96" s="475"/>
      <c r="AO96" s="475"/>
      <c r="AP96" s="475"/>
      <c r="AQ96" s="395">
        <f>0.6%+0.1%+0.04%</f>
        <v>0.0074</v>
      </c>
      <c r="AR96" s="447">
        <f t="shared" si="14"/>
        <v>604118</v>
      </c>
      <c r="AS96" s="145">
        <f>100</f>
        <v>100</v>
      </c>
      <c r="AT96" s="145"/>
      <c r="AU96" s="145"/>
      <c r="AV96" s="145">
        <v>124118</v>
      </c>
      <c r="AW96" s="145"/>
      <c r="AX96" s="145"/>
      <c r="AY96" s="449"/>
      <c r="AZ96" s="450"/>
      <c r="BA96" s="145"/>
      <c r="BB96" s="145">
        <v>480000</v>
      </c>
      <c r="BC96" s="145"/>
      <c r="BD96" s="145"/>
      <c r="BE96" s="145"/>
      <c r="BZ96" s="385" t="s">
        <v>260</v>
      </c>
      <c r="CA96" s="385" t="s">
        <v>271</v>
      </c>
      <c r="CB96" s="385" t="s">
        <v>261</v>
      </c>
      <c r="CE96" s="204"/>
    </row>
    <row r="97" s="385" customFormat="1" customHeight="1" spans="1:83">
      <c r="A97" s="385">
        <v>55</v>
      </c>
      <c r="C97" s="146">
        <v>45040</v>
      </c>
      <c r="D97" s="472">
        <v>20230003632</v>
      </c>
      <c r="F97" s="456" t="s">
        <v>1668</v>
      </c>
      <c r="G97" s="468" t="s">
        <v>1669</v>
      </c>
      <c r="H97" s="468"/>
      <c r="I97" s="441" t="s">
        <v>1670</v>
      </c>
      <c r="J97" s="385">
        <v>115.94</v>
      </c>
      <c r="K97" s="385">
        <v>115.94</v>
      </c>
      <c r="L97" s="385">
        <v>5424.75</v>
      </c>
      <c r="M97" s="464">
        <f>-54+629000</f>
        <v>628946</v>
      </c>
      <c r="N97" s="465"/>
      <c r="O97" s="473">
        <v>577014.68</v>
      </c>
      <c r="P97" s="474" t="s">
        <v>1671</v>
      </c>
      <c r="Q97" s="476">
        <v>45656</v>
      </c>
      <c r="R97" s="145"/>
      <c r="S97" s="393"/>
      <c r="T97" s="468" t="s">
        <v>1669</v>
      </c>
      <c r="U97" s="468" t="s">
        <v>546</v>
      </c>
      <c r="V97" s="145">
        <v>20000</v>
      </c>
      <c r="W97" s="393" t="s">
        <v>1672</v>
      </c>
      <c r="X97" s="145">
        <v>169000</v>
      </c>
      <c r="Y97" s="146" t="s">
        <v>1673</v>
      </c>
      <c r="Z97" s="146">
        <v>440000</v>
      </c>
      <c r="AA97" s="146" t="s">
        <v>1008</v>
      </c>
      <c r="AB97" s="448">
        <v>-54</v>
      </c>
      <c r="AC97" s="448"/>
      <c r="AD97" s="146"/>
      <c r="AE97" s="146"/>
      <c r="AF97" s="146"/>
      <c r="AG97" s="146"/>
      <c r="AH97" s="145">
        <f t="shared" si="13"/>
        <v>628946</v>
      </c>
      <c r="AK97" s="390">
        <f t="shared" si="15"/>
        <v>0</v>
      </c>
      <c r="AL97" s="456" t="s">
        <v>1674</v>
      </c>
      <c r="AM97" s="456"/>
      <c r="AN97" s="475"/>
      <c r="AO97" s="475"/>
      <c r="AP97" s="475"/>
      <c r="AQ97" s="395">
        <f>0.5%+0.14%</f>
        <v>0.0064</v>
      </c>
      <c r="AR97" s="447">
        <f t="shared" si="14"/>
        <v>629000</v>
      </c>
      <c r="AS97" s="145">
        <v>100</v>
      </c>
      <c r="AT97" s="145"/>
      <c r="AU97" s="145"/>
      <c r="AV97" s="145"/>
      <c r="AW97" s="145"/>
      <c r="AX97" s="145">
        <v>189000</v>
      </c>
      <c r="AY97" s="449"/>
      <c r="AZ97" s="457">
        <v>440000</v>
      </c>
      <c r="BA97" s="145"/>
      <c r="BB97" s="145"/>
      <c r="BC97" s="145"/>
      <c r="BD97" s="145"/>
      <c r="BE97" s="145"/>
      <c r="BZ97" s="385" t="s">
        <v>260</v>
      </c>
      <c r="CA97" s="385" t="s">
        <v>271</v>
      </c>
      <c r="CB97" s="385" t="s">
        <v>261</v>
      </c>
      <c r="CE97" s="204"/>
    </row>
    <row r="98" s="385" customFormat="1" customHeight="1" spans="1:83">
      <c r="A98" s="385">
        <v>56</v>
      </c>
      <c r="C98" s="146">
        <v>44965</v>
      </c>
      <c r="D98" s="472">
        <v>20230001069</v>
      </c>
      <c r="F98" s="456" t="s">
        <v>1675</v>
      </c>
      <c r="G98" s="468" t="s">
        <v>1676</v>
      </c>
      <c r="H98" s="1028" t="s">
        <v>1677</v>
      </c>
      <c r="I98" s="451" t="s">
        <v>1678</v>
      </c>
      <c r="J98" s="385">
        <v>115.58</v>
      </c>
      <c r="K98" s="385">
        <v>115.58</v>
      </c>
      <c r="L98" s="385">
        <v>5271.38</v>
      </c>
      <c r="M98" s="464">
        <f>-53+609319</f>
        <v>609266</v>
      </c>
      <c r="N98" s="465"/>
      <c r="O98" s="473">
        <v>558959.63</v>
      </c>
      <c r="P98" s="474" t="s">
        <v>1679</v>
      </c>
      <c r="Q98" s="476">
        <v>45656</v>
      </c>
      <c r="R98" s="145"/>
      <c r="S98" s="393"/>
      <c r="T98" s="453" t="s">
        <v>1680</v>
      </c>
      <c r="U98" s="445" t="s">
        <v>1681</v>
      </c>
      <c r="V98" s="145">
        <v>189319</v>
      </c>
      <c r="W98" s="146" t="s">
        <v>1363</v>
      </c>
      <c r="X98" s="145">
        <v>20000</v>
      </c>
      <c r="Y98" s="385" t="s">
        <v>1266</v>
      </c>
      <c r="Z98" s="145">
        <v>400000</v>
      </c>
      <c r="AA98" s="146" t="s">
        <v>1333</v>
      </c>
      <c r="AB98" s="145">
        <v>-53</v>
      </c>
      <c r="AH98" s="145">
        <f t="shared" si="13"/>
        <v>609266</v>
      </c>
      <c r="AK98" s="390">
        <f t="shared" si="15"/>
        <v>0</v>
      </c>
      <c r="AL98" s="456" t="s">
        <v>1682</v>
      </c>
      <c r="AM98" s="456"/>
      <c r="AN98" s="475"/>
      <c r="AO98" s="475"/>
      <c r="AP98" s="475"/>
      <c r="AQ98" s="395">
        <f t="shared" ref="AQ98:AQ103" si="16">0.4%+0.04%+0.1%</f>
        <v>0.0054</v>
      </c>
      <c r="AR98" s="447">
        <f t="shared" si="14"/>
        <v>609319</v>
      </c>
      <c r="AS98" s="145">
        <v>100</v>
      </c>
      <c r="AT98" s="145"/>
      <c r="AU98" s="145"/>
      <c r="AV98" s="145">
        <v>189319</v>
      </c>
      <c r="AW98" s="145">
        <v>420000</v>
      </c>
      <c r="AX98" s="145"/>
      <c r="AY98" s="449"/>
      <c r="AZ98" s="450"/>
      <c r="BA98" s="145"/>
      <c r="BB98" s="145"/>
      <c r="BC98" s="145"/>
      <c r="BD98" s="145"/>
      <c r="BE98" s="145"/>
      <c r="BZ98" s="385" t="s">
        <v>260</v>
      </c>
      <c r="CA98" s="385" t="s">
        <v>271</v>
      </c>
      <c r="CB98" s="385" t="s">
        <v>261</v>
      </c>
      <c r="CE98" s="204"/>
    </row>
    <row r="99" s="385" customFormat="1" customHeight="1" spans="1:83">
      <c r="A99" s="385">
        <v>57</v>
      </c>
      <c r="C99" s="146">
        <v>45017</v>
      </c>
      <c r="D99" s="472">
        <v>20230003012</v>
      </c>
      <c r="F99" s="456" t="s">
        <v>1683</v>
      </c>
      <c r="G99" s="142" t="s">
        <v>1684</v>
      </c>
      <c r="H99" s="1031" t="s">
        <v>1685</v>
      </c>
      <c r="I99" s="441" t="s">
        <v>1686</v>
      </c>
      <c r="J99" s="385">
        <v>115.94</v>
      </c>
      <c r="K99" s="385">
        <v>115.94</v>
      </c>
      <c r="L99" s="385">
        <v>5285.38</v>
      </c>
      <c r="M99" s="464">
        <f>-53+612840</f>
        <v>612787</v>
      </c>
      <c r="N99" s="465"/>
      <c r="O99" s="473">
        <v>562189.91</v>
      </c>
      <c r="P99" s="474" t="s">
        <v>1687</v>
      </c>
      <c r="Q99" s="476">
        <v>45656</v>
      </c>
      <c r="R99" s="145"/>
      <c r="S99" s="393"/>
      <c r="T99" s="394" t="s">
        <v>1688</v>
      </c>
      <c r="U99" s="393" t="s">
        <v>1689</v>
      </c>
      <c r="V99" s="145">
        <v>2000</v>
      </c>
      <c r="W99" s="146">
        <v>44759</v>
      </c>
      <c r="X99" s="145">
        <v>18000</v>
      </c>
      <c r="Y99" s="466" t="s">
        <v>1280</v>
      </c>
      <c r="Z99" s="145">
        <f>8000+164840</f>
        <v>172840</v>
      </c>
      <c r="AA99" s="385" t="s">
        <v>1690</v>
      </c>
      <c r="AB99" s="145">
        <v>420000</v>
      </c>
      <c r="AC99" s="393" t="s">
        <v>1691</v>
      </c>
      <c r="AD99" s="385">
        <v>-53</v>
      </c>
      <c r="AH99" s="145">
        <f t="shared" si="13"/>
        <v>612787</v>
      </c>
      <c r="AK99" s="390">
        <f t="shared" si="15"/>
        <v>0</v>
      </c>
      <c r="AL99" s="456" t="s">
        <v>1692</v>
      </c>
      <c r="AM99" s="456"/>
      <c r="AN99" s="475"/>
      <c r="AO99" s="475"/>
      <c r="AP99" s="475"/>
      <c r="AQ99" s="395">
        <f>0.6%+0.1%</f>
        <v>0.007</v>
      </c>
      <c r="AR99" s="447">
        <f t="shared" si="14"/>
        <v>612840</v>
      </c>
      <c r="AS99" s="145"/>
      <c r="AT99" s="145">
        <v>100</v>
      </c>
      <c r="AU99" s="145"/>
      <c r="AV99" s="145"/>
      <c r="AW99" s="145"/>
      <c r="AX99" s="145">
        <v>192840</v>
      </c>
      <c r="AY99" s="449"/>
      <c r="AZ99" s="450"/>
      <c r="BA99" s="145">
        <v>420000</v>
      </c>
      <c r="BB99" s="145"/>
      <c r="BC99" s="145"/>
      <c r="BD99" s="145"/>
      <c r="BE99" s="145"/>
      <c r="BZ99" s="385" t="s">
        <v>260</v>
      </c>
      <c r="CA99" s="385" t="s">
        <v>271</v>
      </c>
      <c r="CB99" s="385" t="s">
        <v>261</v>
      </c>
      <c r="CE99" s="204"/>
    </row>
    <row r="100" s="385" customFormat="1" customHeight="1" spans="1:83">
      <c r="A100" s="385">
        <v>58</v>
      </c>
      <c r="C100" s="146">
        <v>45040</v>
      </c>
      <c r="D100" s="472">
        <v>20230003627</v>
      </c>
      <c r="F100" s="456" t="s">
        <v>1693</v>
      </c>
      <c r="G100" s="142" t="s">
        <v>1694</v>
      </c>
      <c r="H100" s="1031" t="s">
        <v>1695</v>
      </c>
      <c r="I100" s="441" t="s">
        <v>1696</v>
      </c>
      <c r="J100" s="385">
        <v>115.58</v>
      </c>
      <c r="K100" s="385">
        <v>115.58</v>
      </c>
      <c r="L100" s="385">
        <v>5316.38</v>
      </c>
      <c r="M100" s="464">
        <f>-53+614521</f>
        <v>614468</v>
      </c>
      <c r="N100" s="465"/>
      <c r="O100" s="473">
        <v>563732.11</v>
      </c>
      <c r="P100" s="474" t="s">
        <v>1697</v>
      </c>
      <c r="Q100" s="476">
        <v>45656</v>
      </c>
      <c r="R100" s="145"/>
      <c r="S100" s="445"/>
      <c r="T100" s="453" t="s">
        <v>1698</v>
      </c>
      <c r="U100" s="445" t="s">
        <v>1699</v>
      </c>
      <c r="V100" s="145">
        <f>2000</f>
        <v>2000</v>
      </c>
      <c r="W100" s="440">
        <v>44755</v>
      </c>
      <c r="X100" s="145">
        <v>18000</v>
      </c>
      <c r="Y100" s="466" t="s">
        <v>1280</v>
      </c>
      <c r="Z100" s="145">
        <v>594521</v>
      </c>
      <c r="AA100" s="385" t="s">
        <v>1673</v>
      </c>
      <c r="AB100" s="145">
        <v>-53</v>
      </c>
      <c r="AH100" s="145">
        <f t="shared" si="13"/>
        <v>614468</v>
      </c>
      <c r="AK100" s="390">
        <f t="shared" si="15"/>
        <v>0</v>
      </c>
      <c r="AL100" s="456" t="s">
        <v>1700</v>
      </c>
      <c r="AM100" s="456"/>
      <c r="AN100" s="475"/>
      <c r="AO100" s="475"/>
      <c r="AP100" s="475"/>
      <c r="AQ100" s="395">
        <f>0.6%+0.1%</f>
        <v>0.007</v>
      </c>
      <c r="AR100" s="447">
        <f t="shared" si="14"/>
        <v>614521</v>
      </c>
      <c r="AS100" s="145">
        <f t="shared" ref="AS100:AS103" si="17">100</f>
        <v>100</v>
      </c>
      <c r="AT100" s="145">
        <v>100</v>
      </c>
      <c r="AU100" s="145"/>
      <c r="AV100" s="145"/>
      <c r="AW100" s="145"/>
      <c r="AX100" s="145">
        <v>614521</v>
      </c>
      <c r="AY100" s="449"/>
      <c r="AZ100" s="450"/>
      <c r="BA100" s="145"/>
      <c r="BB100" s="145"/>
      <c r="BC100" s="145"/>
      <c r="BD100" s="145"/>
      <c r="BE100" s="145"/>
      <c r="BZ100" s="385" t="s">
        <v>260</v>
      </c>
      <c r="CA100" s="385" t="s">
        <v>271</v>
      </c>
      <c r="CB100" s="385" t="s">
        <v>261</v>
      </c>
      <c r="CE100" s="204"/>
    </row>
    <row r="101" s="385" customFormat="1" customHeight="1" spans="1:83">
      <c r="A101" s="385">
        <v>59</v>
      </c>
      <c r="C101" s="146">
        <v>44967</v>
      </c>
      <c r="D101" s="472">
        <v>20230001361</v>
      </c>
      <c r="F101" s="456" t="s">
        <v>1701</v>
      </c>
      <c r="G101" s="142" t="s">
        <v>1702</v>
      </c>
      <c r="H101" s="142"/>
      <c r="I101" s="441" t="s">
        <v>1703</v>
      </c>
      <c r="J101" s="385">
        <v>115.94</v>
      </c>
      <c r="K101" s="385">
        <v>115.94</v>
      </c>
      <c r="L101" s="385">
        <v>5412.4</v>
      </c>
      <c r="M101" s="464">
        <f>-54+627568</f>
        <v>627514</v>
      </c>
      <c r="N101" s="465"/>
      <c r="O101" s="473">
        <v>575700.92</v>
      </c>
      <c r="P101" s="474" t="s">
        <v>1704</v>
      </c>
      <c r="Q101" s="476">
        <v>45656</v>
      </c>
      <c r="R101" s="145"/>
      <c r="S101" s="393"/>
      <c r="T101" s="142" t="s">
        <v>1702</v>
      </c>
      <c r="U101" s="142" t="s">
        <v>1702</v>
      </c>
      <c r="V101" s="145">
        <v>20000</v>
      </c>
      <c r="W101" s="146" t="s">
        <v>1259</v>
      </c>
      <c r="X101" s="145">
        <v>177568</v>
      </c>
      <c r="Y101" s="466" t="s">
        <v>1228</v>
      </c>
      <c r="Z101" s="145">
        <v>430000</v>
      </c>
      <c r="AA101" s="385" t="s">
        <v>1316</v>
      </c>
      <c r="AB101" s="145">
        <v>-54</v>
      </c>
      <c r="AH101" s="145">
        <f t="shared" si="13"/>
        <v>627514</v>
      </c>
      <c r="AK101" s="390">
        <f t="shared" si="15"/>
        <v>0</v>
      </c>
      <c r="AL101" s="456" t="s">
        <v>1705</v>
      </c>
      <c r="AM101" s="456"/>
      <c r="AN101" s="475"/>
      <c r="AO101" s="475"/>
      <c r="AP101" s="475"/>
      <c r="AQ101" s="395">
        <f>0.6%+0.06%+0.14%</f>
        <v>0.008</v>
      </c>
      <c r="AR101" s="447">
        <f t="shared" si="14"/>
        <v>627568</v>
      </c>
      <c r="AS101" s="145"/>
      <c r="AT101" s="145"/>
      <c r="AU101" s="145"/>
      <c r="AV101" s="145">
        <v>197568</v>
      </c>
      <c r="AW101" s="145"/>
      <c r="AX101" s="145"/>
      <c r="AY101" s="449"/>
      <c r="AZ101" s="457">
        <v>430000</v>
      </c>
      <c r="BA101" s="145"/>
      <c r="BB101" s="145"/>
      <c r="BC101" s="145"/>
      <c r="BD101" s="145"/>
      <c r="BE101" s="145"/>
      <c r="BZ101" s="385" t="s">
        <v>260</v>
      </c>
      <c r="CA101" s="385" t="s">
        <v>271</v>
      </c>
      <c r="CB101" s="385" t="s">
        <v>261</v>
      </c>
      <c r="CE101" s="204"/>
    </row>
    <row r="102" s="385" customFormat="1" customHeight="1" spans="1:83">
      <c r="A102" s="385">
        <v>60</v>
      </c>
      <c r="C102" s="146">
        <v>44963</v>
      </c>
      <c r="D102" s="472">
        <v>20230000787</v>
      </c>
      <c r="F102" s="456" t="s">
        <v>1706</v>
      </c>
      <c r="G102" s="142" t="s">
        <v>1707</v>
      </c>
      <c r="H102" s="1031" t="s">
        <v>1708</v>
      </c>
      <c r="I102" s="441" t="s">
        <v>1709</v>
      </c>
      <c r="J102" s="385">
        <v>115.58</v>
      </c>
      <c r="K102" s="385">
        <v>115.58</v>
      </c>
      <c r="L102" s="385">
        <v>5341.38</v>
      </c>
      <c r="M102" s="464">
        <f>-53+617410</f>
        <v>617357</v>
      </c>
      <c r="N102" s="465"/>
      <c r="O102" s="473">
        <v>566382.57</v>
      </c>
      <c r="P102" s="474" t="s">
        <v>1710</v>
      </c>
      <c r="Q102" s="476">
        <v>45656</v>
      </c>
      <c r="R102" s="145"/>
      <c r="S102" s="445"/>
      <c r="T102" s="453" t="s">
        <v>1711</v>
      </c>
      <c r="U102" s="445" t="s">
        <v>1712</v>
      </c>
      <c r="V102" s="145">
        <v>187410</v>
      </c>
      <c r="W102" s="385" t="s">
        <v>1298</v>
      </c>
      <c r="X102" s="145">
        <v>430000</v>
      </c>
      <c r="Y102" s="466" t="s">
        <v>1000</v>
      </c>
      <c r="Z102" s="145">
        <v>-53</v>
      </c>
      <c r="AA102" s="146">
        <v>45909</v>
      </c>
      <c r="AB102" s="145"/>
      <c r="AH102" s="145">
        <f t="shared" si="13"/>
        <v>617357</v>
      </c>
      <c r="AK102" s="390">
        <f t="shared" si="15"/>
        <v>0</v>
      </c>
      <c r="AL102" s="456" t="s">
        <v>1713</v>
      </c>
      <c r="AM102" s="456"/>
      <c r="AN102" s="475"/>
      <c r="AO102" s="475"/>
      <c r="AP102" s="475"/>
      <c r="AQ102" s="395">
        <f t="shared" si="16"/>
        <v>0.0054</v>
      </c>
      <c r="AR102" s="447">
        <f t="shared" si="14"/>
        <v>617410</v>
      </c>
      <c r="AS102" s="145">
        <f t="shared" si="17"/>
        <v>100</v>
      </c>
      <c r="AT102" s="145">
        <v>100</v>
      </c>
      <c r="AU102" s="145"/>
      <c r="AV102" s="145">
        <v>187410</v>
      </c>
      <c r="AW102" s="145">
        <v>430000</v>
      </c>
      <c r="AX102" s="145"/>
      <c r="AY102" s="449"/>
      <c r="AZ102" s="450"/>
      <c r="BA102" s="145"/>
      <c r="BB102" s="145"/>
      <c r="BC102" s="145"/>
      <c r="BD102" s="145"/>
      <c r="BE102" s="145"/>
      <c r="BZ102" s="385" t="s">
        <v>260</v>
      </c>
      <c r="CA102" s="385" t="s">
        <v>271</v>
      </c>
      <c r="CB102" s="385" t="s">
        <v>261</v>
      </c>
      <c r="CE102" s="204"/>
    </row>
    <row r="103" s="385" customFormat="1" customHeight="1" spans="1:83">
      <c r="A103" s="385">
        <v>61</v>
      </c>
      <c r="C103" s="146">
        <v>44966</v>
      </c>
      <c r="D103" s="472">
        <v>20230001189</v>
      </c>
      <c r="F103" s="456" t="s">
        <v>1714</v>
      </c>
      <c r="G103" s="385" t="s">
        <v>1715</v>
      </c>
      <c r="H103" s="1026" t="s">
        <v>1716</v>
      </c>
      <c r="I103" s="451" t="s">
        <v>1717</v>
      </c>
      <c r="J103" s="385">
        <v>115.94</v>
      </c>
      <c r="K103" s="385">
        <v>115.94</v>
      </c>
      <c r="L103" s="385">
        <v>5377.38</v>
      </c>
      <c r="M103" s="464">
        <f>-54+623508</f>
        <v>623454</v>
      </c>
      <c r="N103" s="465"/>
      <c r="O103" s="473">
        <v>571976.15</v>
      </c>
      <c r="P103" s="474" t="s">
        <v>1718</v>
      </c>
      <c r="Q103" s="476">
        <v>45656</v>
      </c>
      <c r="R103" s="145"/>
      <c r="S103" s="393"/>
      <c r="T103" s="453" t="s">
        <v>1719</v>
      </c>
      <c r="U103" s="445" t="s">
        <v>1720</v>
      </c>
      <c r="V103" s="145">
        <v>167508</v>
      </c>
      <c r="W103" s="466" t="s">
        <v>1259</v>
      </c>
      <c r="X103" s="145">
        <v>20000</v>
      </c>
      <c r="Y103" s="466" t="s">
        <v>1721</v>
      </c>
      <c r="Z103" s="145">
        <v>436000</v>
      </c>
      <c r="AA103" s="385" t="s">
        <v>808</v>
      </c>
      <c r="AB103" s="145">
        <v>-54</v>
      </c>
      <c r="AH103" s="145">
        <f t="shared" si="13"/>
        <v>623454</v>
      </c>
      <c r="AK103" s="390">
        <f t="shared" si="15"/>
        <v>0</v>
      </c>
      <c r="AL103" s="456" t="s">
        <v>1722</v>
      </c>
      <c r="AM103" s="456"/>
      <c r="AN103" s="475"/>
      <c r="AO103" s="475"/>
      <c r="AP103" s="475"/>
      <c r="AQ103" s="395">
        <f t="shared" si="16"/>
        <v>0.0054</v>
      </c>
      <c r="AR103" s="447">
        <f t="shared" si="14"/>
        <v>623508</v>
      </c>
      <c r="AS103" s="145">
        <f t="shared" si="17"/>
        <v>100</v>
      </c>
      <c r="AT103" s="145"/>
      <c r="AU103" s="145"/>
      <c r="AV103" s="145">
        <v>187508</v>
      </c>
      <c r="AW103" s="145">
        <v>436000</v>
      </c>
      <c r="AX103" s="145"/>
      <c r="AY103" s="449"/>
      <c r="AZ103" s="450"/>
      <c r="BA103" s="145"/>
      <c r="BB103" s="145"/>
      <c r="BC103" s="145"/>
      <c r="BD103" s="145"/>
      <c r="BE103" s="145"/>
      <c r="BZ103" s="385" t="s">
        <v>260</v>
      </c>
      <c r="CA103" s="385" t="s">
        <v>271</v>
      </c>
      <c r="CB103" s="385" t="s">
        <v>261</v>
      </c>
      <c r="CE103" s="204"/>
    </row>
    <row r="104" s="385" customFormat="1" customHeight="1" spans="1:83">
      <c r="A104" s="385">
        <v>62</v>
      </c>
      <c r="C104" s="146">
        <v>44966</v>
      </c>
      <c r="D104" s="472">
        <v>20230001249</v>
      </c>
      <c r="F104" s="456" t="s">
        <v>1723</v>
      </c>
      <c r="G104" s="142" t="s">
        <v>1566</v>
      </c>
      <c r="H104" s="142"/>
      <c r="I104" s="441" t="s">
        <v>1724</v>
      </c>
      <c r="J104" s="385">
        <v>115.58</v>
      </c>
      <c r="K104" s="385">
        <v>115.58</v>
      </c>
      <c r="L104" s="385">
        <v>5534.04</v>
      </c>
      <c r="M104" s="464">
        <f>-55+639680</f>
        <v>639625</v>
      </c>
      <c r="N104" s="465"/>
      <c r="O104" s="473">
        <v>586811.93</v>
      </c>
      <c r="P104" s="474" t="s">
        <v>1725</v>
      </c>
      <c r="Q104" s="476">
        <v>45656</v>
      </c>
      <c r="R104" s="145"/>
      <c r="S104" s="393"/>
      <c r="T104" s="393" t="s">
        <v>1566</v>
      </c>
      <c r="U104" s="393" t="s">
        <v>1566</v>
      </c>
      <c r="V104" s="145">
        <v>20000</v>
      </c>
      <c r="W104" s="146" t="s">
        <v>1324</v>
      </c>
      <c r="X104" s="145">
        <v>619680</v>
      </c>
      <c r="Y104" s="466" t="s">
        <v>1259</v>
      </c>
      <c r="Z104" s="145">
        <v>-55</v>
      </c>
      <c r="AB104" s="145"/>
      <c r="AH104" s="145">
        <f t="shared" si="13"/>
        <v>639625</v>
      </c>
      <c r="AK104" s="390">
        <f t="shared" si="15"/>
        <v>0</v>
      </c>
      <c r="AL104" s="456" t="s">
        <v>1726</v>
      </c>
      <c r="AM104" s="456"/>
      <c r="AN104" s="475"/>
      <c r="AO104" s="475"/>
      <c r="AP104" s="475"/>
      <c r="AQ104" s="395">
        <f>0.5%+0.05%+0.14%</f>
        <v>0.0069</v>
      </c>
      <c r="AR104" s="447">
        <f t="shared" si="14"/>
        <v>639680</v>
      </c>
      <c r="AS104" s="145"/>
      <c r="AT104" s="145">
        <v>100</v>
      </c>
      <c r="AU104" s="145"/>
      <c r="AV104" s="145">
        <v>639680</v>
      </c>
      <c r="AW104" s="145"/>
      <c r="AX104" s="145"/>
      <c r="AY104" s="449"/>
      <c r="AZ104" s="450"/>
      <c r="BA104" s="145"/>
      <c r="BB104" s="145"/>
      <c r="BC104" s="145"/>
      <c r="BD104" s="145"/>
      <c r="BE104" s="145"/>
      <c r="BZ104" s="385" t="s">
        <v>260</v>
      </c>
      <c r="CA104" s="385" t="s">
        <v>271</v>
      </c>
      <c r="CB104" s="385" t="s">
        <v>261</v>
      </c>
      <c r="CE104" s="204"/>
    </row>
    <row r="105" s="385" customFormat="1" customHeight="1" spans="1:83">
      <c r="A105" s="385">
        <v>63</v>
      </c>
      <c r="C105" s="146">
        <v>44968</v>
      </c>
      <c r="D105" s="472">
        <v>20230001425</v>
      </c>
      <c r="F105" s="456" t="s">
        <v>1727</v>
      </c>
      <c r="G105" s="385" t="s">
        <v>1728</v>
      </c>
      <c r="I105" s="451" t="s">
        <v>1729</v>
      </c>
      <c r="J105" s="385">
        <v>115.94</v>
      </c>
      <c r="K105" s="385">
        <v>115.94</v>
      </c>
      <c r="L105" s="385">
        <v>5528.81</v>
      </c>
      <c r="M105" s="464">
        <f>-55+641066</f>
        <v>641011</v>
      </c>
      <c r="N105" s="465"/>
      <c r="O105" s="473">
        <v>588083.49</v>
      </c>
      <c r="P105" s="474" t="s">
        <v>1730</v>
      </c>
      <c r="Q105" s="476">
        <v>45656</v>
      </c>
      <c r="R105" s="145"/>
      <c r="S105" s="393"/>
      <c r="T105" s="445" t="s">
        <v>1728</v>
      </c>
      <c r="U105" s="445" t="s">
        <v>1728</v>
      </c>
      <c r="V105" s="145">
        <f>52066</f>
        <v>52066</v>
      </c>
      <c r="W105" s="440" t="s">
        <v>1228</v>
      </c>
      <c r="X105" s="145">
        <v>90000</v>
      </c>
      <c r="Y105" s="466" t="s">
        <v>1230</v>
      </c>
      <c r="Z105" s="145">
        <v>499000</v>
      </c>
      <c r="AA105" s="393" t="s">
        <v>810</v>
      </c>
      <c r="AB105" s="145">
        <v>-55</v>
      </c>
      <c r="AH105" s="145">
        <f t="shared" si="13"/>
        <v>641011</v>
      </c>
      <c r="AK105" s="390">
        <f t="shared" si="15"/>
        <v>0</v>
      </c>
      <c r="AL105" s="456"/>
      <c r="AM105" s="456"/>
      <c r="AN105" s="475"/>
      <c r="AO105" s="475"/>
      <c r="AP105" s="475"/>
      <c r="AQ105" s="395">
        <f>0.5%+0.05%+0.14%</f>
        <v>0.0069</v>
      </c>
      <c r="AR105" s="447">
        <f t="shared" si="14"/>
        <v>641066</v>
      </c>
      <c r="AS105" s="145">
        <f>100</f>
        <v>100</v>
      </c>
      <c r="AT105" s="145"/>
      <c r="AU105" s="145"/>
      <c r="AV105" s="145">
        <v>142066</v>
      </c>
      <c r="AW105" s="145"/>
      <c r="AX105" s="145"/>
      <c r="AY105" s="449"/>
      <c r="AZ105" s="450"/>
      <c r="BA105" s="145">
        <v>499000</v>
      </c>
      <c r="BB105" s="145"/>
      <c r="BC105" s="145"/>
      <c r="BD105" s="145"/>
      <c r="BE105" s="145"/>
      <c r="BZ105" s="385" t="s">
        <v>260</v>
      </c>
      <c r="CA105" s="385" t="s">
        <v>271</v>
      </c>
      <c r="CB105" s="385" t="s">
        <v>261</v>
      </c>
      <c r="CE105" s="204"/>
    </row>
    <row r="106" s="385" customFormat="1" customHeight="1" spans="1:83">
      <c r="A106" s="385">
        <v>64</v>
      </c>
      <c r="C106" s="146">
        <v>44963</v>
      </c>
      <c r="D106" s="472">
        <v>20230000845</v>
      </c>
      <c r="F106" s="456" t="s">
        <v>1731</v>
      </c>
      <c r="G106" s="385" t="s">
        <v>1732</v>
      </c>
      <c r="H106" s="1026" t="s">
        <v>1733</v>
      </c>
      <c r="I106" s="441" t="s">
        <v>1734</v>
      </c>
      <c r="J106" s="385">
        <v>115.58</v>
      </c>
      <c r="K106" s="385">
        <v>115.58</v>
      </c>
      <c r="L106" s="385">
        <v>5406.38</v>
      </c>
      <c r="M106" s="464">
        <f>-54+624924</f>
        <v>624870</v>
      </c>
      <c r="N106" s="465"/>
      <c r="O106" s="473">
        <v>573275.23</v>
      </c>
      <c r="P106" s="474" t="s">
        <v>1735</v>
      </c>
      <c r="Q106" s="392">
        <v>45652</v>
      </c>
      <c r="R106" s="145"/>
      <c r="S106" s="393"/>
      <c r="T106" s="394" t="s">
        <v>1736</v>
      </c>
      <c r="U106" s="393" t="s">
        <v>1737</v>
      </c>
      <c r="V106" s="145">
        <v>187924</v>
      </c>
      <c r="W106" s="466" t="s">
        <v>1298</v>
      </c>
      <c r="X106" s="145">
        <v>437000</v>
      </c>
      <c r="Y106" s="466" t="s">
        <v>1738</v>
      </c>
      <c r="Z106" s="145">
        <v>-54</v>
      </c>
      <c r="AB106" s="145"/>
      <c r="AH106" s="145">
        <f t="shared" si="13"/>
        <v>624870</v>
      </c>
      <c r="AK106" s="390">
        <f t="shared" si="15"/>
        <v>0</v>
      </c>
      <c r="AL106" s="456" t="s">
        <v>1739</v>
      </c>
      <c r="AM106" s="456"/>
      <c r="AN106" s="475"/>
      <c r="AO106" s="475"/>
      <c r="AP106" s="475"/>
      <c r="AQ106" s="395">
        <f>0.4%+0.04%+0.1%</f>
        <v>0.0054</v>
      </c>
      <c r="AR106" s="447">
        <f t="shared" si="14"/>
        <v>624924</v>
      </c>
      <c r="AS106" s="145"/>
      <c r="AT106" s="145">
        <v>100</v>
      </c>
      <c r="AU106" s="145"/>
      <c r="AV106" s="145">
        <v>187924</v>
      </c>
      <c r="AW106" s="145">
        <v>437000</v>
      </c>
      <c r="AX106" s="145"/>
      <c r="AY106" s="449"/>
      <c r="AZ106" s="450"/>
      <c r="BA106" s="145"/>
      <c r="BB106" s="145"/>
      <c r="BC106" s="145"/>
      <c r="BD106" s="145"/>
      <c r="BE106" s="145"/>
      <c r="BZ106" s="385" t="s">
        <v>260</v>
      </c>
      <c r="CA106" s="385" t="s">
        <v>271</v>
      </c>
      <c r="CB106" s="385" t="s">
        <v>261</v>
      </c>
      <c r="CE106" s="204"/>
    </row>
    <row r="107" s="385" customFormat="1" customHeight="1" spans="1:83">
      <c r="A107" s="385">
        <v>65</v>
      </c>
      <c r="C107" s="146">
        <v>44964</v>
      </c>
      <c r="D107" s="472">
        <v>20230000975</v>
      </c>
      <c r="F107" s="456" t="s">
        <v>1740</v>
      </c>
      <c r="G107" s="468" t="s">
        <v>1741</v>
      </c>
      <c r="H107" s="1031" t="s">
        <v>1742</v>
      </c>
      <c r="I107" s="451" t="s">
        <v>1743</v>
      </c>
      <c r="J107" s="385">
        <v>115.94</v>
      </c>
      <c r="K107" s="385">
        <v>115.94</v>
      </c>
      <c r="L107" s="385">
        <v>6560.42</v>
      </c>
      <c r="M107" s="464">
        <f>-66+760681</f>
        <v>760615</v>
      </c>
      <c r="N107" s="465"/>
      <c r="O107" s="473">
        <v>697811.93</v>
      </c>
      <c r="P107" s="474" t="s">
        <v>1744</v>
      </c>
      <c r="Q107" s="476">
        <v>45656</v>
      </c>
      <c r="R107" s="145"/>
      <c r="S107" s="445"/>
      <c r="T107" s="453" t="s">
        <v>1745</v>
      </c>
      <c r="U107" s="445" t="s">
        <v>1746</v>
      </c>
      <c r="V107" s="145">
        <v>460681</v>
      </c>
      <c r="W107" s="385" t="s">
        <v>1324</v>
      </c>
      <c r="X107" s="145">
        <v>300000</v>
      </c>
      <c r="Y107" s="385" t="s">
        <v>1266</v>
      </c>
      <c r="Z107" s="145">
        <v>-66</v>
      </c>
      <c r="AA107" s="146">
        <v>45909</v>
      </c>
      <c r="AB107" s="145"/>
      <c r="AH107" s="145">
        <f t="shared" si="13"/>
        <v>760615</v>
      </c>
      <c r="AK107" s="390">
        <f t="shared" si="15"/>
        <v>0</v>
      </c>
      <c r="AL107" s="456" t="s">
        <v>1747</v>
      </c>
      <c r="AM107" s="456"/>
      <c r="AN107" s="475"/>
      <c r="AO107" s="475"/>
      <c r="AP107" s="475"/>
      <c r="AQ107" s="395">
        <f>0.6%+0.1%</f>
        <v>0.007</v>
      </c>
      <c r="AR107" s="447">
        <f t="shared" si="14"/>
        <v>760681</v>
      </c>
      <c r="AS107" s="145"/>
      <c r="AT107" s="145">
        <f>100+100</f>
        <v>200</v>
      </c>
      <c r="AU107" s="145"/>
      <c r="AV107" s="145">
        <v>760681</v>
      </c>
      <c r="AW107" s="145"/>
      <c r="AX107" s="145"/>
      <c r="AY107" s="449"/>
      <c r="AZ107" s="450"/>
      <c r="BA107" s="145"/>
      <c r="BB107" s="145"/>
      <c r="BC107" s="145"/>
      <c r="BD107" s="145"/>
      <c r="BE107" s="145"/>
      <c r="BZ107" s="385" t="s">
        <v>260</v>
      </c>
      <c r="CA107" s="385" t="s">
        <v>271</v>
      </c>
      <c r="CB107" s="385" t="s">
        <v>261</v>
      </c>
      <c r="CE107" s="204"/>
    </row>
    <row r="108" s="385" customFormat="1" customHeight="1" spans="1:83">
      <c r="A108" s="385">
        <v>66</v>
      </c>
      <c r="C108" s="146">
        <v>45204</v>
      </c>
      <c r="D108" s="472">
        <v>20230008735</v>
      </c>
      <c r="F108" s="456" t="s">
        <v>1748</v>
      </c>
      <c r="G108" s="142" t="s">
        <v>1749</v>
      </c>
      <c r="H108" s="1031" t="s">
        <v>1750</v>
      </c>
      <c r="I108" s="441" t="s">
        <v>1751</v>
      </c>
      <c r="J108" s="385">
        <v>115.58</v>
      </c>
      <c r="K108" s="385">
        <v>115.58</v>
      </c>
      <c r="L108" s="385">
        <v>6630</v>
      </c>
      <c r="M108" s="464">
        <f>-66+766362</f>
        <v>766296</v>
      </c>
      <c r="N108" s="465">
        <v>6566.42</v>
      </c>
      <c r="O108" s="473">
        <v>703023.85</v>
      </c>
      <c r="P108" s="474" t="s">
        <v>1752</v>
      </c>
      <c r="Q108" s="476">
        <v>45716</v>
      </c>
      <c r="R108" s="145"/>
      <c r="S108" s="393"/>
      <c r="T108" s="393" t="s">
        <v>1749</v>
      </c>
      <c r="U108" s="393" t="s">
        <v>408</v>
      </c>
      <c r="V108" s="145">
        <v>20000</v>
      </c>
      <c r="W108" s="146" t="s">
        <v>1753</v>
      </c>
      <c r="X108" s="145">
        <v>100000</v>
      </c>
      <c r="Y108" s="466" t="s">
        <v>1236</v>
      </c>
      <c r="Z108" s="145">
        <v>400000</v>
      </c>
      <c r="AA108" s="393" t="s">
        <v>917</v>
      </c>
      <c r="AB108" s="145">
        <v>100000</v>
      </c>
      <c r="AC108" s="393" t="s">
        <v>1754</v>
      </c>
      <c r="AD108" s="385">
        <v>146362</v>
      </c>
      <c r="AE108" s="385" t="s">
        <v>898</v>
      </c>
      <c r="AF108" s="385">
        <v>-66</v>
      </c>
      <c r="AG108" s="146">
        <v>45909</v>
      </c>
      <c r="AH108" s="145">
        <f t="shared" si="13"/>
        <v>766296</v>
      </c>
      <c r="AK108" s="390">
        <f t="shared" si="15"/>
        <v>0</v>
      </c>
      <c r="AL108" s="456" t="s">
        <v>1755</v>
      </c>
      <c r="AM108" s="456"/>
      <c r="AN108" s="475"/>
      <c r="AO108" s="475"/>
      <c r="AP108" s="475"/>
      <c r="AQ108" s="395">
        <f t="shared" ref="AQ108:AQ110" si="18">0.6%+0.06%+0.14%</f>
        <v>0.008</v>
      </c>
      <c r="AR108" s="447">
        <f t="shared" si="14"/>
        <v>766362</v>
      </c>
      <c r="AS108" s="145"/>
      <c r="AT108" s="145"/>
      <c r="AU108" s="145"/>
      <c r="AV108" s="145"/>
      <c r="AW108" s="145"/>
      <c r="AX108" s="145"/>
      <c r="AY108" s="223"/>
      <c r="AZ108" s="300"/>
      <c r="BA108" s="145"/>
      <c r="BB108" s="145"/>
      <c r="BC108" s="145"/>
      <c r="BD108" s="145"/>
      <c r="BE108" s="145"/>
      <c r="BG108" s="385">
        <v>766362</v>
      </c>
      <c r="BZ108" s="385" t="s">
        <v>260</v>
      </c>
      <c r="CA108" s="385" t="s">
        <v>271</v>
      </c>
      <c r="CB108" s="385" t="s">
        <v>261</v>
      </c>
      <c r="CE108" s="204"/>
    </row>
    <row r="109" s="385" customFormat="1" ht="45" customHeight="1" spans="1:83">
      <c r="A109" s="385">
        <v>67</v>
      </c>
      <c r="C109" s="146">
        <v>44999</v>
      </c>
      <c r="D109" s="472">
        <v>20230002408</v>
      </c>
      <c r="F109" s="456" t="s">
        <v>676</v>
      </c>
      <c r="G109" s="142" t="s">
        <v>1756</v>
      </c>
      <c r="H109" s="1031" t="s">
        <v>1757</v>
      </c>
      <c r="I109" s="451" t="s">
        <v>1758</v>
      </c>
      <c r="J109" s="385">
        <v>117.14</v>
      </c>
      <c r="K109" s="385">
        <v>117.14</v>
      </c>
      <c r="L109" s="385">
        <v>8050</v>
      </c>
      <c r="M109" s="464">
        <v>942977</v>
      </c>
      <c r="N109" s="465">
        <v>8047</v>
      </c>
      <c r="O109" s="473">
        <v>865116.51</v>
      </c>
      <c r="P109" s="474" t="s">
        <v>1759</v>
      </c>
      <c r="Q109" s="476">
        <v>45617</v>
      </c>
      <c r="R109" s="145"/>
      <c r="S109" s="393"/>
      <c r="T109" s="445" t="s">
        <v>677</v>
      </c>
      <c r="U109" s="445" t="s">
        <v>677</v>
      </c>
      <c r="V109" s="145">
        <f>2000-2000</f>
        <v>0</v>
      </c>
      <c r="W109" s="146">
        <v>44757</v>
      </c>
      <c r="X109" s="145">
        <v>20000</v>
      </c>
      <c r="Y109" s="466" t="s">
        <v>1760</v>
      </c>
      <c r="Z109" s="145">
        <v>400000</v>
      </c>
      <c r="AA109" s="385" t="s">
        <v>1761</v>
      </c>
      <c r="AB109" s="145">
        <v>522977</v>
      </c>
      <c r="AC109" s="393" t="s">
        <v>810</v>
      </c>
      <c r="AH109" s="145">
        <f t="shared" si="13"/>
        <v>942977</v>
      </c>
      <c r="AK109" s="390">
        <f t="shared" si="15"/>
        <v>0</v>
      </c>
      <c r="AL109" s="456" t="s">
        <v>1762</v>
      </c>
      <c r="AM109" s="456"/>
      <c r="AN109" s="475"/>
      <c r="AO109" s="475"/>
      <c r="AP109" s="475"/>
      <c r="AQ109" s="395">
        <f>0.6%+0.14%</f>
        <v>0.0074</v>
      </c>
      <c r="AR109" s="447">
        <f t="shared" si="14"/>
        <v>942977</v>
      </c>
      <c r="AS109" s="145">
        <f>100</f>
        <v>100</v>
      </c>
      <c r="AT109" s="145"/>
      <c r="AU109" s="145"/>
      <c r="AV109" s="145"/>
      <c r="AW109" s="145"/>
      <c r="AX109" s="145"/>
      <c r="AY109" s="223"/>
      <c r="AZ109" s="452"/>
      <c r="BA109" s="145">
        <v>942977</v>
      </c>
      <c r="BB109" s="145"/>
      <c r="BC109" s="145"/>
      <c r="BD109" s="145"/>
      <c r="BE109" s="145"/>
      <c r="BZ109" s="385" t="s">
        <v>260</v>
      </c>
      <c r="CA109" s="385" t="s">
        <v>271</v>
      </c>
      <c r="CB109" s="385" t="s">
        <v>261</v>
      </c>
      <c r="CE109" s="204"/>
    </row>
    <row r="110" s="385" customFormat="1" customHeight="1" spans="1:83">
      <c r="A110" s="385">
        <v>68</v>
      </c>
      <c r="C110" s="146">
        <v>44968</v>
      </c>
      <c r="D110" s="472">
        <v>20230001469</v>
      </c>
      <c r="F110" s="456" t="s">
        <v>1763</v>
      </c>
      <c r="G110" s="385" t="s">
        <v>1764</v>
      </c>
      <c r="H110" s="1026" t="s">
        <v>1765</v>
      </c>
      <c r="I110" s="441" t="s">
        <v>1766</v>
      </c>
      <c r="J110" s="385">
        <v>116.67</v>
      </c>
      <c r="K110" s="385">
        <v>116.67</v>
      </c>
      <c r="L110" s="385">
        <v>8057</v>
      </c>
      <c r="M110" s="464">
        <f>940091-81</f>
        <v>940010</v>
      </c>
      <c r="N110" s="465"/>
      <c r="O110" s="473">
        <v>862394.5</v>
      </c>
      <c r="P110" s="474" t="s">
        <v>1767</v>
      </c>
      <c r="Q110" s="476">
        <v>45617</v>
      </c>
      <c r="R110" s="145"/>
      <c r="S110" s="393"/>
      <c r="T110" s="385" t="s">
        <v>1764</v>
      </c>
      <c r="U110" s="385" t="s">
        <v>1768</v>
      </c>
      <c r="V110" s="145">
        <v>20000</v>
      </c>
      <c r="W110" s="146" t="s">
        <v>1228</v>
      </c>
      <c r="X110" s="145">
        <v>20000</v>
      </c>
      <c r="Y110" s="466" t="s">
        <v>1769</v>
      </c>
      <c r="Z110" s="145">
        <v>200000</v>
      </c>
      <c r="AA110" s="385" t="s">
        <v>1230</v>
      </c>
      <c r="AB110" s="145">
        <v>270000</v>
      </c>
      <c r="AC110" s="385" t="s">
        <v>1231</v>
      </c>
      <c r="AD110" s="385">
        <v>140091</v>
      </c>
      <c r="AE110" s="385" t="s">
        <v>1491</v>
      </c>
      <c r="AF110" s="145">
        <f>290000-81</f>
        <v>289919</v>
      </c>
      <c r="AG110" s="393" t="s">
        <v>994</v>
      </c>
      <c r="AH110" s="145">
        <f t="shared" si="13"/>
        <v>940010</v>
      </c>
      <c r="AK110" s="390">
        <f t="shared" si="15"/>
        <v>0</v>
      </c>
      <c r="AL110" s="456" t="s">
        <v>1770</v>
      </c>
      <c r="AM110" s="456"/>
      <c r="AN110" s="475"/>
      <c r="AO110" s="475"/>
      <c r="AP110" s="475"/>
      <c r="AQ110" s="395">
        <f t="shared" si="18"/>
        <v>0.008</v>
      </c>
      <c r="AR110" s="447">
        <f t="shared" si="14"/>
        <v>940091</v>
      </c>
      <c r="AS110" s="145"/>
      <c r="AT110" s="145"/>
      <c r="AU110" s="145"/>
      <c r="AV110" s="145">
        <v>240000</v>
      </c>
      <c r="AW110" s="145"/>
      <c r="AX110" s="145"/>
      <c r="AY110" s="449"/>
      <c r="AZ110" s="450"/>
      <c r="BA110" s="145">
        <v>700091</v>
      </c>
      <c r="BB110" s="145"/>
      <c r="BC110" s="145"/>
      <c r="BD110" s="145"/>
      <c r="BE110" s="145"/>
      <c r="BZ110" s="385" t="s">
        <v>260</v>
      </c>
      <c r="CA110" s="385" t="s">
        <v>271</v>
      </c>
      <c r="CB110" s="385" t="s">
        <v>261</v>
      </c>
      <c r="CE110" s="204"/>
    </row>
    <row r="111" s="385" customFormat="1" customHeight="1" spans="1:83">
      <c r="A111" s="385">
        <v>69</v>
      </c>
      <c r="C111" s="146">
        <v>45147</v>
      </c>
      <c r="D111" s="472">
        <v>20230006724</v>
      </c>
      <c r="F111" s="456" t="s">
        <v>1771</v>
      </c>
      <c r="G111" s="385" t="s">
        <v>1772</v>
      </c>
      <c r="I111" s="451" t="s">
        <v>1773</v>
      </c>
      <c r="J111" s="385">
        <v>115.58</v>
      </c>
      <c r="K111" s="385">
        <v>115.58</v>
      </c>
      <c r="L111" s="385">
        <v>5680</v>
      </c>
      <c r="M111" s="464">
        <f>-57+656551</f>
        <v>656494</v>
      </c>
      <c r="N111" s="465">
        <v>5587.19</v>
      </c>
      <c r="O111" s="473">
        <v>602288.07</v>
      </c>
      <c r="P111" s="474" t="s">
        <v>1774</v>
      </c>
      <c r="Q111" s="476">
        <v>45617</v>
      </c>
      <c r="R111" s="145"/>
      <c r="S111" s="393"/>
      <c r="T111" s="393"/>
      <c r="U111" s="393" t="s">
        <v>284</v>
      </c>
      <c r="V111" s="145">
        <v>20000</v>
      </c>
      <c r="W111" s="393" t="s">
        <v>917</v>
      </c>
      <c r="X111" s="145">
        <f>120000+56551</f>
        <v>176551</v>
      </c>
      <c r="Y111" s="393" t="s">
        <v>1775</v>
      </c>
      <c r="Z111" s="145">
        <v>460000</v>
      </c>
      <c r="AA111" s="393" t="s">
        <v>918</v>
      </c>
      <c r="AB111" s="145">
        <v>-57</v>
      </c>
      <c r="AH111" s="145">
        <f t="shared" si="13"/>
        <v>656494</v>
      </c>
      <c r="AK111" s="390">
        <f t="shared" si="15"/>
        <v>0</v>
      </c>
      <c r="AL111" s="456" t="s">
        <v>1776</v>
      </c>
      <c r="AM111" s="456"/>
      <c r="AN111" s="475"/>
      <c r="AO111" s="475"/>
      <c r="AP111" s="475"/>
      <c r="AQ111" s="395">
        <f>0.5%+0.03%+0.14%</f>
        <v>0.0067</v>
      </c>
      <c r="AR111" s="447">
        <f t="shared" si="14"/>
        <v>656551</v>
      </c>
      <c r="AS111" s="145"/>
      <c r="AT111" s="145"/>
      <c r="AU111" s="145"/>
      <c r="AV111" s="145"/>
      <c r="AW111" s="145"/>
      <c r="AX111" s="145"/>
      <c r="AY111" s="449"/>
      <c r="AZ111" s="455"/>
      <c r="BA111" s="145"/>
      <c r="BB111" s="145">
        <v>196551</v>
      </c>
      <c r="BC111" s="145">
        <v>460000</v>
      </c>
      <c r="BD111" s="145"/>
      <c r="BE111" s="145"/>
      <c r="BZ111" s="385" t="s">
        <v>260</v>
      </c>
      <c r="CA111" s="385" t="s">
        <v>271</v>
      </c>
      <c r="CB111" s="385" t="s">
        <v>261</v>
      </c>
      <c r="CE111" s="204"/>
    </row>
    <row r="112" s="385" customFormat="1" customHeight="1" spans="1:83">
      <c r="A112" s="385">
        <v>70</v>
      </c>
      <c r="C112" s="146">
        <v>45100</v>
      </c>
      <c r="D112" s="472">
        <v>20230005301</v>
      </c>
      <c r="F112" s="456" t="s">
        <v>1777</v>
      </c>
      <c r="G112" s="385" t="s">
        <v>1778</v>
      </c>
      <c r="H112" s="1026" t="s">
        <v>1779</v>
      </c>
      <c r="I112" s="441" t="s">
        <v>1780</v>
      </c>
      <c r="J112" s="385">
        <v>115.58</v>
      </c>
      <c r="K112" s="385">
        <v>115.58</v>
      </c>
      <c r="L112" s="385">
        <v>5623.32</v>
      </c>
      <c r="M112" s="464">
        <f>-56+650000</f>
        <v>649944</v>
      </c>
      <c r="N112" s="465">
        <v>5293.39</v>
      </c>
      <c r="O112" s="473">
        <v>596278.9</v>
      </c>
      <c r="P112" s="474" t="s">
        <v>1781</v>
      </c>
      <c r="Q112" s="476">
        <v>45617</v>
      </c>
      <c r="R112" s="145"/>
      <c r="S112" s="393"/>
      <c r="T112" s="393"/>
      <c r="U112" s="393" t="s">
        <v>380</v>
      </c>
      <c r="V112" s="145">
        <v>20000</v>
      </c>
      <c r="W112" s="393" t="s">
        <v>1549</v>
      </c>
      <c r="X112" s="145">
        <v>80000</v>
      </c>
      <c r="Y112" s="393" t="s">
        <v>332</v>
      </c>
      <c r="Z112" s="145">
        <f>25000+5000</f>
        <v>30000</v>
      </c>
      <c r="AA112" s="393" t="s">
        <v>858</v>
      </c>
      <c r="AB112" s="145">
        <v>520000</v>
      </c>
      <c r="AC112" s="393" t="s">
        <v>1782</v>
      </c>
      <c r="AD112" s="385">
        <v>-56</v>
      </c>
      <c r="AH112" s="145">
        <f t="shared" si="13"/>
        <v>649944</v>
      </c>
      <c r="AK112" s="390">
        <f t="shared" si="15"/>
        <v>0</v>
      </c>
      <c r="AL112" s="456" t="s">
        <v>1783</v>
      </c>
      <c r="AM112" s="456"/>
      <c r="AN112" s="475"/>
      <c r="AO112" s="475"/>
      <c r="AP112" s="475"/>
      <c r="AQ112" s="395">
        <f>0.6%+0.05%+0.14%</f>
        <v>0.0079</v>
      </c>
      <c r="AR112" s="447">
        <f t="shared" si="14"/>
        <v>650000</v>
      </c>
      <c r="AS112" s="145"/>
      <c r="AT112" s="145"/>
      <c r="AU112" s="145"/>
      <c r="AV112" s="145"/>
      <c r="AW112" s="145"/>
      <c r="AX112" s="145"/>
      <c r="AY112" s="223"/>
      <c r="AZ112" s="300"/>
      <c r="BA112" s="145">
        <v>130000</v>
      </c>
      <c r="BB112" s="145">
        <v>520000</v>
      </c>
      <c r="BC112" s="145"/>
      <c r="BD112" s="145"/>
      <c r="BE112" s="145"/>
      <c r="BZ112" s="385" t="s">
        <v>260</v>
      </c>
      <c r="CA112" s="385" t="s">
        <v>271</v>
      </c>
      <c r="CB112" s="385" t="s">
        <v>261</v>
      </c>
      <c r="CE112" s="204"/>
    </row>
    <row r="113" s="385" customFormat="1" customHeight="1" spans="1:83">
      <c r="A113" s="385">
        <v>71</v>
      </c>
      <c r="C113" s="146">
        <v>45048</v>
      </c>
      <c r="D113" s="472">
        <v>20230003813</v>
      </c>
      <c r="F113" s="456" t="s">
        <v>1784</v>
      </c>
      <c r="G113" s="142" t="s">
        <v>1572</v>
      </c>
      <c r="H113" s="142"/>
      <c r="I113" s="451" t="s">
        <v>1785</v>
      </c>
      <c r="J113" s="385">
        <v>115.58</v>
      </c>
      <c r="K113" s="385">
        <v>115.58</v>
      </c>
      <c r="L113" s="385">
        <v>5363.79</v>
      </c>
      <c r="M113" s="464">
        <f>-54+620000</f>
        <v>619946</v>
      </c>
      <c r="N113" s="465">
        <v>5339.16</v>
      </c>
      <c r="O113" s="473">
        <v>568757.8</v>
      </c>
      <c r="P113" s="474" t="s">
        <v>1786</v>
      </c>
      <c r="Q113" s="476">
        <v>45617</v>
      </c>
      <c r="R113" s="145"/>
      <c r="S113" s="445"/>
      <c r="T113" s="445" t="s">
        <v>1572</v>
      </c>
      <c r="U113" s="445" t="s">
        <v>1572</v>
      </c>
      <c r="V113" s="145">
        <f>2000</f>
        <v>2000</v>
      </c>
      <c r="W113" s="440">
        <v>44753</v>
      </c>
      <c r="X113" s="145">
        <v>20000</v>
      </c>
      <c r="Y113" s="466" t="s">
        <v>866</v>
      </c>
      <c r="Z113" s="145">
        <v>330000</v>
      </c>
      <c r="AA113" s="385" t="s">
        <v>946</v>
      </c>
      <c r="AB113" s="145">
        <v>270000</v>
      </c>
      <c r="AC113" s="445" t="s">
        <v>1787</v>
      </c>
      <c r="AD113" s="385">
        <v>-54</v>
      </c>
      <c r="AH113" s="145">
        <f t="shared" si="13"/>
        <v>621946</v>
      </c>
      <c r="AK113" s="390">
        <f t="shared" si="15"/>
        <v>-2000</v>
      </c>
      <c r="AL113" s="456" t="s">
        <v>1788</v>
      </c>
      <c r="AM113" s="456"/>
      <c r="AN113" s="475"/>
      <c r="AO113" s="475"/>
      <c r="AP113" s="475"/>
      <c r="AQ113" s="395">
        <f>0.6%+0.05%+0.14%+0.06%</f>
        <v>0.0085</v>
      </c>
      <c r="AR113" s="447">
        <f t="shared" si="14"/>
        <v>620000</v>
      </c>
      <c r="AS113" s="145">
        <f>100+100+100</f>
        <v>300</v>
      </c>
      <c r="AT113" s="145">
        <f>100+100</f>
        <v>200</v>
      </c>
      <c r="AU113" s="145"/>
      <c r="AV113" s="145"/>
      <c r="AW113" s="145"/>
      <c r="AX113" s="145"/>
      <c r="AY113" s="223">
        <v>350000</v>
      </c>
      <c r="AZ113" s="452"/>
      <c r="BA113" s="145"/>
      <c r="BB113" s="145">
        <v>270000</v>
      </c>
      <c r="BC113" s="145"/>
      <c r="BD113" s="145"/>
      <c r="BE113" s="145"/>
      <c r="BZ113" s="385" t="s">
        <v>260</v>
      </c>
      <c r="CA113" s="385" t="s">
        <v>271</v>
      </c>
      <c r="CB113" s="385" t="s">
        <v>261</v>
      </c>
      <c r="CE113" s="204"/>
    </row>
    <row r="114" s="385" customFormat="1" customHeight="1" spans="1:83">
      <c r="A114" s="385">
        <v>72</v>
      </c>
      <c r="C114" s="146">
        <v>44963</v>
      </c>
      <c r="D114" s="472">
        <v>20230000839</v>
      </c>
      <c r="F114" s="456" t="s">
        <v>1789</v>
      </c>
      <c r="G114" s="142" t="s">
        <v>1790</v>
      </c>
      <c r="H114" s="142"/>
      <c r="I114" s="441" t="s">
        <v>1791</v>
      </c>
      <c r="J114" s="385">
        <v>115.58</v>
      </c>
      <c r="K114" s="385">
        <v>115.58</v>
      </c>
      <c r="L114" s="385">
        <v>5284.66</v>
      </c>
      <c r="M114" s="464">
        <f>-53+610854</f>
        <v>610801</v>
      </c>
      <c r="N114" s="465"/>
      <c r="O114" s="473">
        <v>560367.89</v>
      </c>
      <c r="P114" s="474" t="s">
        <v>1792</v>
      </c>
      <c r="Q114" s="476">
        <v>45617</v>
      </c>
      <c r="R114" s="145"/>
      <c r="S114" s="445"/>
      <c r="T114" s="445" t="s">
        <v>1793</v>
      </c>
      <c r="U114" s="445" t="s">
        <v>1793</v>
      </c>
      <c r="V114" s="145">
        <v>310854</v>
      </c>
      <c r="W114" s="466" t="s">
        <v>1298</v>
      </c>
      <c r="X114" s="385">
        <v>300000</v>
      </c>
      <c r="Y114" s="385" t="s">
        <v>1266</v>
      </c>
      <c r="Z114" s="145">
        <v>-53</v>
      </c>
      <c r="AB114" s="145"/>
      <c r="AH114" s="145">
        <f t="shared" si="13"/>
        <v>610801</v>
      </c>
      <c r="AK114" s="390">
        <f t="shared" si="15"/>
        <v>0</v>
      </c>
      <c r="AL114" s="456" t="s">
        <v>1794</v>
      </c>
      <c r="AM114" s="456"/>
      <c r="AN114" s="475"/>
      <c r="AO114" s="475"/>
      <c r="AP114" s="475"/>
      <c r="AQ114" s="395">
        <f>0.6%+0.05%+0.14%</f>
        <v>0.0079</v>
      </c>
      <c r="AR114" s="447">
        <f t="shared" si="14"/>
        <v>610854</v>
      </c>
      <c r="AS114" s="145">
        <f t="shared" ref="AS114:AS119" si="19">100</f>
        <v>100</v>
      </c>
      <c r="AT114" s="145">
        <v>100</v>
      </c>
      <c r="AU114" s="145"/>
      <c r="AV114" s="145">
        <v>610854</v>
      </c>
      <c r="AW114" s="145"/>
      <c r="AX114" s="145"/>
      <c r="AY114" s="449"/>
      <c r="AZ114" s="450"/>
      <c r="BA114" s="145"/>
      <c r="BB114" s="145"/>
      <c r="BC114" s="145"/>
      <c r="BD114" s="145"/>
      <c r="BE114" s="145"/>
      <c r="BZ114" s="385" t="s">
        <v>260</v>
      </c>
      <c r="CA114" s="385" t="s">
        <v>271</v>
      </c>
      <c r="CB114" s="385" t="s">
        <v>261</v>
      </c>
      <c r="CE114" s="204"/>
    </row>
    <row r="115" s="385" customFormat="1" customHeight="1" spans="1:83">
      <c r="A115" s="385">
        <v>73</v>
      </c>
      <c r="C115" s="146">
        <v>44962</v>
      </c>
      <c r="D115" s="472">
        <v>20230000683</v>
      </c>
      <c r="F115" s="456" t="s">
        <v>1795</v>
      </c>
      <c r="G115" s="142" t="s">
        <v>1796</v>
      </c>
      <c r="H115" s="1031" t="s">
        <v>1797</v>
      </c>
      <c r="I115" s="441" t="s">
        <v>1798</v>
      </c>
      <c r="J115" s="385">
        <v>115.58</v>
      </c>
      <c r="K115" s="385">
        <v>115.58</v>
      </c>
      <c r="L115" s="385">
        <v>5182.38</v>
      </c>
      <c r="M115" s="464">
        <f>-52+599032</f>
        <v>598980</v>
      </c>
      <c r="N115" s="465"/>
      <c r="O115" s="473">
        <v>549522.94</v>
      </c>
      <c r="P115" s="474" t="s">
        <v>1799</v>
      </c>
      <c r="Q115" s="476">
        <v>45617</v>
      </c>
      <c r="R115" s="145"/>
      <c r="S115" s="393"/>
      <c r="T115" s="394" t="s">
        <v>1800</v>
      </c>
      <c r="U115" s="393" t="s">
        <v>1801</v>
      </c>
      <c r="V115" s="145">
        <v>120032</v>
      </c>
      <c r="W115" s="385" t="s">
        <v>1265</v>
      </c>
      <c r="X115" s="145">
        <v>130000</v>
      </c>
      <c r="Y115" s="466" t="s">
        <v>1802</v>
      </c>
      <c r="Z115" s="145">
        <v>349000</v>
      </c>
      <c r="AA115" s="385" t="s">
        <v>1364</v>
      </c>
      <c r="AB115" s="145">
        <v>-52</v>
      </c>
      <c r="AH115" s="145">
        <f t="shared" si="13"/>
        <v>598980</v>
      </c>
      <c r="AK115" s="390">
        <f t="shared" si="15"/>
        <v>0</v>
      </c>
      <c r="AL115" s="456" t="s">
        <v>1803</v>
      </c>
      <c r="AM115" s="456"/>
      <c r="AN115" s="475"/>
      <c r="AO115" s="475"/>
      <c r="AP115" s="475"/>
      <c r="AQ115" s="395">
        <f>0.6%+0.04%+0.1%</f>
        <v>0.0074</v>
      </c>
      <c r="AR115" s="447">
        <f t="shared" si="14"/>
        <v>599032</v>
      </c>
      <c r="AS115" s="145">
        <v>100</v>
      </c>
      <c r="AT115" s="145"/>
      <c r="AU115" s="145"/>
      <c r="AV115" s="145"/>
      <c r="AW115" s="145"/>
      <c r="AX115" s="145">
        <v>599032</v>
      </c>
      <c r="AY115" s="449"/>
      <c r="AZ115" s="450"/>
      <c r="BA115" s="145"/>
      <c r="BB115" s="145"/>
      <c r="BC115" s="145"/>
      <c r="BD115" s="145"/>
      <c r="BE115" s="145"/>
      <c r="BZ115" s="385" t="s">
        <v>260</v>
      </c>
      <c r="CA115" s="385" t="s">
        <v>271</v>
      </c>
      <c r="CB115" s="385" t="s">
        <v>261</v>
      </c>
      <c r="CE115" s="204"/>
    </row>
    <row r="116" s="385" customFormat="1" customHeight="1" spans="1:83">
      <c r="A116" s="385">
        <v>74</v>
      </c>
      <c r="C116" s="146">
        <v>44985</v>
      </c>
      <c r="D116" s="472">
        <v>20230002094</v>
      </c>
      <c r="F116" s="456" t="s">
        <v>1804</v>
      </c>
      <c r="G116" s="142" t="s">
        <v>1576</v>
      </c>
      <c r="H116" s="1031" t="s">
        <v>1805</v>
      </c>
      <c r="I116" s="441" t="s">
        <v>1806</v>
      </c>
      <c r="J116" s="385">
        <v>115.58</v>
      </c>
      <c r="K116" s="385">
        <v>115.58</v>
      </c>
      <c r="L116" s="385">
        <v>5380</v>
      </c>
      <c r="M116" s="464">
        <f>621874-54</f>
        <v>621820</v>
      </c>
      <c r="N116" s="465">
        <v>5376.36</v>
      </c>
      <c r="O116" s="473">
        <v>570477.06</v>
      </c>
      <c r="P116" s="474" t="s">
        <v>1807</v>
      </c>
      <c r="Q116" s="476">
        <v>45617</v>
      </c>
      <c r="R116" s="145"/>
      <c r="S116" s="393"/>
      <c r="T116" s="142" t="s">
        <v>1576</v>
      </c>
      <c r="U116" s="142" t="s">
        <v>1808</v>
      </c>
      <c r="V116" s="145">
        <v>20000</v>
      </c>
      <c r="W116" s="146" t="s">
        <v>1230</v>
      </c>
      <c r="X116" s="145">
        <v>501874</v>
      </c>
      <c r="Y116" s="466" t="s">
        <v>1760</v>
      </c>
      <c r="Z116" s="145">
        <v>100000</v>
      </c>
      <c r="AA116" s="385" t="s">
        <v>1809</v>
      </c>
      <c r="AB116" s="145">
        <v>-54</v>
      </c>
      <c r="AH116" s="145">
        <f t="shared" si="13"/>
        <v>621820</v>
      </c>
      <c r="AK116" s="390">
        <f t="shared" si="15"/>
        <v>0</v>
      </c>
      <c r="AL116" s="456" t="s">
        <v>1810</v>
      </c>
      <c r="AM116" s="456"/>
      <c r="AN116" s="475"/>
      <c r="AO116" s="475"/>
      <c r="AP116" s="475"/>
      <c r="AQ116" s="395">
        <f>0.4%+0.14%</f>
        <v>0.0054</v>
      </c>
      <c r="AR116" s="447">
        <f t="shared" si="14"/>
        <v>621874</v>
      </c>
      <c r="AS116" s="145"/>
      <c r="AT116" s="145">
        <v>100</v>
      </c>
      <c r="AU116" s="145"/>
      <c r="AV116" s="385">
        <v>521874</v>
      </c>
      <c r="AW116" s="145"/>
      <c r="AX116" s="145">
        <v>100000</v>
      </c>
      <c r="AY116" s="449"/>
      <c r="AZ116" s="450"/>
      <c r="BA116" s="145"/>
      <c r="BB116" s="145"/>
      <c r="BC116" s="145"/>
      <c r="BD116" s="145"/>
      <c r="BE116" s="145"/>
      <c r="BZ116" s="385" t="s">
        <v>260</v>
      </c>
      <c r="CA116" s="385" t="s">
        <v>271</v>
      </c>
      <c r="CB116" s="385" t="s">
        <v>261</v>
      </c>
      <c r="CE116" s="204"/>
    </row>
    <row r="117" s="385" customFormat="1" customHeight="1" spans="1:83">
      <c r="A117" s="385">
        <v>75</v>
      </c>
      <c r="C117" s="146">
        <v>44966</v>
      </c>
      <c r="D117" s="472">
        <v>20230001152</v>
      </c>
      <c r="F117" s="456" t="s">
        <v>1811</v>
      </c>
      <c r="G117" s="142" t="s">
        <v>1812</v>
      </c>
      <c r="H117" s="1031" t="s">
        <v>1813</v>
      </c>
      <c r="I117" s="451" t="s">
        <v>1814</v>
      </c>
      <c r="J117" s="385">
        <v>115.58</v>
      </c>
      <c r="K117" s="385">
        <v>115.58</v>
      </c>
      <c r="L117" s="385">
        <v>5232.38</v>
      </c>
      <c r="M117" s="464">
        <f>-52+604811</f>
        <v>604759</v>
      </c>
      <c r="N117" s="465"/>
      <c r="O117" s="473">
        <v>554824.77</v>
      </c>
      <c r="P117" s="474" t="s">
        <v>1815</v>
      </c>
      <c r="Q117" s="476">
        <v>45617</v>
      </c>
      <c r="R117" s="145"/>
      <c r="S117" s="393"/>
      <c r="T117" s="453" t="s">
        <v>1816</v>
      </c>
      <c r="U117" s="445" t="s">
        <v>1817</v>
      </c>
      <c r="V117" s="145">
        <v>6411</v>
      </c>
      <c r="W117" s="466" t="s">
        <v>1259</v>
      </c>
      <c r="X117" s="145">
        <v>20000</v>
      </c>
      <c r="Y117" s="466" t="s">
        <v>1721</v>
      </c>
      <c r="Z117" s="145">
        <v>95400</v>
      </c>
      <c r="AA117" s="385" t="s">
        <v>1673</v>
      </c>
      <c r="AB117" s="145">
        <v>483000</v>
      </c>
      <c r="AC117" s="385" t="s">
        <v>1473</v>
      </c>
      <c r="AD117" s="385">
        <v>-52</v>
      </c>
      <c r="AE117" s="146">
        <v>45909</v>
      </c>
      <c r="AH117" s="145">
        <f t="shared" si="13"/>
        <v>604759</v>
      </c>
      <c r="AK117" s="390">
        <f t="shared" si="15"/>
        <v>0</v>
      </c>
      <c r="AL117" s="456" t="s">
        <v>1818</v>
      </c>
      <c r="AM117" s="456"/>
      <c r="AN117" s="475"/>
      <c r="AO117" s="475"/>
      <c r="AP117" s="475"/>
      <c r="AQ117" s="395">
        <f>0.6%+0.1%</f>
        <v>0.007</v>
      </c>
      <c r="AR117" s="447">
        <f t="shared" si="14"/>
        <v>604811</v>
      </c>
      <c r="AS117" s="145">
        <f t="shared" si="19"/>
        <v>100</v>
      </c>
      <c r="AT117" s="145"/>
      <c r="AU117" s="145"/>
      <c r="AV117" s="145"/>
      <c r="AW117" s="145"/>
      <c r="AX117" s="145">
        <v>121811</v>
      </c>
      <c r="AY117" s="449">
        <v>483000</v>
      </c>
      <c r="AZ117" s="450"/>
      <c r="BA117" s="145"/>
      <c r="BB117" s="145"/>
      <c r="BC117" s="145"/>
      <c r="BD117" s="145"/>
      <c r="BE117" s="145"/>
      <c r="BZ117" s="385" t="s">
        <v>260</v>
      </c>
      <c r="CA117" s="385" t="s">
        <v>271</v>
      </c>
      <c r="CB117" s="385" t="s">
        <v>261</v>
      </c>
      <c r="CE117" s="204"/>
    </row>
    <row r="118" s="385" customFormat="1" customHeight="1" spans="1:83">
      <c r="A118" s="385">
        <v>76</v>
      </c>
      <c r="C118" s="146">
        <v>45021</v>
      </c>
      <c r="D118" s="472">
        <v>20230003103</v>
      </c>
      <c r="F118" s="501" t="s">
        <v>1819</v>
      </c>
      <c r="G118" s="142" t="s">
        <v>1820</v>
      </c>
      <c r="H118" s="1031" t="s">
        <v>478</v>
      </c>
      <c r="I118" s="441" t="s">
        <v>1821</v>
      </c>
      <c r="J118" s="385">
        <v>115.58</v>
      </c>
      <c r="K118" s="385">
        <v>115.58</v>
      </c>
      <c r="L118" s="385">
        <v>5238.39</v>
      </c>
      <c r="M118" s="464">
        <f>-52+605505</f>
        <v>605453</v>
      </c>
      <c r="N118" s="465"/>
      <c r="O118" s="473">
        <v>555461.47</v>
      </c>
      <c r="P118" s="474" t="s">
        <v>1822</v>
      </c>
      <c r="Q118" s="476">
        <v>45617</v>
      </c>
      <c r="R118" s="145"/>
      <c r="S118" s="445"/>
      <c r="T118" s="453" t="s">
        <v>1823</v>
      </c>
      <c r="U118" s="445" t="s">
        <v>1824</v>
      </c>
      <c r="V118" s="145">
        <f>2000</f>
        <v>2000</v>
      </c>
      <c r="W118" s="440">
        <v>44773</v>
      </c>
      <c r="X118" s="145">
        <v>18000</v>
      </c>
      <c r="Y118" s="466" t="s">
        <v>1280</v>
      </c>
      <c r="Z118" s="145">
        <v>45505</v>
      </c>
      <c r="AA118" s="385" t="s">
        <v>1388</v>
      </c>
      <c r="AB118" s="145">
        <v>60000</v>
      </c>
      <c r="AC118" s="385" t="s">
        <v>491</v>
      </c>
      <c r="AD118" s="145">
        <v>30000</v>
      </c>
      <c r="AE118" s="445" t="s">
        <v>636</v>
      </c>
      <c r="AF118" s="385">
        <f>-52+450000</f>
        <v>449948</v>
      </c>
      <c r="AG118" s="385" t="s">
        <v>1825</v>
      </c>
      <c r="AH118" s="145">
        <f t="shared" si="13"/>
        <v>605453</v>
      </c>
      <c r="AK118" s="390">
        <f t="shared" si="15"/>
        <v>0</v>
      </c>
      <c r="AL118" s="456" t="s">
        <v>1826</v>
      </c>
      <c r="AM118" s="456"/>
      <c r="AN118" s="475"/>
      <c r="AO118" s="475"/>
      <c r="AP118" s="475"/>
      <c r="AQ118" s="395">
        <f>0.4%+0.04%+0.1%+0.04%</f>
        <v>0.0058</v>
      </c>
      <c r="AR118" s="447">
        <f t="shared" si="14"/>
        <v>605505</v>
      </c>
      <c r="AS118" s="145">
        <f>100+100+100</f>
        <v>300</v>
      </c>
      <c r="AT118" s="145">
        <v>100</v>
      </c>
      <c r="AU118" s="145"/>
      <c r="AV118" s="145"/>
      <c r="AW118" s="145"/>
      <c r="AX118" s="145"/>
      <c r="AY118" s="449"/>
      <c r="AZ118" s="457">
        <v>125505</v>
      </c>
      <c r="BA118" s="145"/>
      <c r="BB118" s="145"/>
      <c r="BC118" s="145"/>
      <c r="BD118" s="145"/>
      <c r="BE118" s="145"/>
      <c r="BM118" s="385">
        <v>480000</v>
      </c>
      <c r="BZ118" s="385" t="s">
        <v>260</v>
      </c>
      <c r="CA118" s="385" t="s">
        <v>271</v>
      </c>
      <c r="CB118" s="385" t="s">
        <v>261</v>
      </c>
      <c r="CE118" s="204"/>
    </row>
    <row r="119" s="385" customFormat="1" customHeight="1" spans="1:83">
      <c r="A119" s="385">
        <v>77</v>
      </c>
      <c r="C119" s="146">
        <v>44964</v>
      </c>
      <c r="D119" s="472">
        <v>20230000967</v>
      </c>
      <c r="F119" s="456" t="s">
        <v>1827</v>
      </c>
      <c r="G119" s="142" t="s">
        <v>1584</v>
      </c>
      <c r="H119" s="1031" t="s">
        <v>1828</v>
      </c>
      <c r="I119" s="451" t="s">
        <v>1829</v>
      </c>
      <c r="J119" s="385">
        <v>115.58</v>
      </c>
      <c r="K119" s="385">
        <v>115.58</v>
      </c>
      <c r="L119" s="385">
        <v>5277.38</v>
      </c>
      <c r="M119" s="464">
        <f>-53+610013</f>
        <v>609960</v>
      </c>
      <c r="N119" s="465"/>
      <c r="O119" s="473">
        <v>559596.33</v>
      </c>
      <c r="P119" s="474" t="s">
        <v>1830</v>
      </c>
      <c r="Q119" s="476">
        <v>45617</v>
      </c>
      <c r="R119" s="145"/>
      <c r="S119" s="445"/>
      <c r="T119" s="453" t="s">
        <v>1831</v>
      </c>
      <c r="U119" s="445" t="s">
        <v>1832</v>
      </c>
      <c r="V119" s="145">
        <v>122013</v>
      </c>
      <c r="W119" s="385" t="s">
        <v>1324</v>
      </c>
      <c r="X119" s="145">
        <v>488000</v>
      </c>
      <c r="Y119" s="466" t="s">
        <v>1491</v>
      </c>
      <c r="Z119" s="145">
        <v>-53</v>
      </c>
      <c r="AB119" s="145"/>
      <c r="AH119" s="145">
        <f t="shared" si="13"/>
        <v>609960</v>
      </c>
      <c r="AK119" s="390">
        <f t="shared" si="15"/>
        <v>0</v>
      </c>
      <c r="AL119" s="456" t="s">
        <v>1833</v>
      </c>
      <c r="AM119" s="456"/>
      <c r="AN119" s="475"/>
      <c r="AO119" s="475"/>
      <c r="AP119" s="475"/>
      <c r="AQ119" s="395">
        <f t="shared" ref="AQ119:AQ122" si="20">0.6%+0.04%+0.1%</f>
        <v>0.0074</v>
      </c>
      <c r="AR119" s="447">
        <f t="shared" si="14"/>
        <v>610013</v>
      </c>
      <c r="AS119" s="145">
        <f t="shared" si="19"/>
        <v>100</v>
      </c>
      <c r="AT119" s="145">
        <v>100</v>
      </c>
      <c r="AU119" s="145"/>
      <c r="AV119" s="145"/>
      <c r="AW119" s="145">
        <v>610013</v>
      </c>
      <c r="AX119" s="145"/>
      <c r="AY119" s="449"/>
      <c r="AZ119" s="455"/>
      <c r="BA119" s="145"/>
      <c r="BB119" s="145"/>
      <c r="BC119" s="145"/>
      <c r="BD119" s="145"/>
      <c r="BE119" s="145"/>
      <c r="BZ119" s="385" t="s">
        <v>260</v>
      </c>
      <c r="CA119" s="385" t="s">
        <v>271</v>
      </c>
      <c r="CB119" s="385" t="s">
        <v>261</v>
      </c>
      <c r="CE119" s="204"/>
    </row>
    <row r="120" s="385" customFormat="1" customHeight="1" spans="1:83">
      <c r="A120" s="385">
        <v>78</v>
      </c>
      <c r="C120" s="146">
        <v>44963</v>
      </c>
      <c r="D120" s="472">
        <v>20230000768</v>
      </c>
      <c r="F120" s="456" t="s">
        <v>1834</v>
      </c>
      <c r="G120" s="468" t="s">
        <v>1586</v>
      </c>
      <c r="H120" s="1028" t="s">
        <v>1835</v>
      </c>
      <c r="I120" s="441" t="s">
        <v>1836</v>
      </c>
      <c r="J120" s="385">
        <v>115.58</v>
      </c>
      <c r="K120" s="385">
        <v>115.58</v>
      </c>
      <c r="L120" s="385">
        <v>5283.38</v>
      </c>
      <c r="M120" s="464">
        <f>-53+610706</f>
        <v>610653</v>
      </c>
      <c r="N120" s="465"/>
      <c r="O120" s="473">
        <v>560232.11</v>
      </c>
      <c r="P120" s="474" t="s">
        <v>1837</v>
      </c>
      <c r="Q120" s="476">
        <v>45617</v>
      </c>
      <c r="R120" s="145"/>
      <c r="S120" s="445"/>
      <c r="T120" s="453" t="s">
        <v>1838</v>
      </c>
      <c r="U120" s="445" t="s">
        <v>1839</v>
      </c>
      <c r="V120" s="145">
        <v>150706</v>
      </c>
      <c r="W120" s="385" t="s">
        <v>1298</v>
      </c>
      <c r="X120" s="145">
        <v>460000</v>
      </c>
      <c r="Y120" s="466" t="s">
        <v>1653</v>
      </c>
      <c r="Z120" s="145">
        <v>-53</v>
      </c>
      <c r="AA120" s="146">
        <v>45909</v>
      </c>
      <c r="AB120" s="145"/>
      <c r="AH120" s="145">
        <f t="shared" ref="AH120:AH128" si="21">V120+X120+Z120+AB120+AD120+AF120</f>
        <v>610653</v>
      </c>
      <c r="AK120" s="390">
        <f t="shared" si="15"/>
        <v>0</v>
      </c>
      <c r="AL120" s="456" t="s">
        <v>1840</v>
      </c>
      <c r="AM120" s="456"/>
      <c r="AN120" s="475"/>
      <c r="AO120" s="475"/>
      <c r="AP120" s="475"/>
      <c r="AQ120" s="395">
        <f t="shared" si="20"/>
        <v>0.0074</v>
      </c>
      <c r="AR120" s="447">
        <f t="shared" si="14"/>
        <v>610706</v>
      </c>
      <c r="AS120" s="145">
        <f>100+100</f>
        <v>200</v>
      </c>
      <c r="AT120" s="145"/>
      <c r="AU120" s="145"/>
      <c r="AV120" s="145">
        <v>150706</v>
      </c>
      <c r="AW120" s="145"/>
      <c r="AX120" s="145"/>
      <c r="AY120" s="449"/>
      <c r="AZ120" s="457">
        <v>460000</v>
      </c>
      <c r="BA120" s="145"/>
      <c r="BB120" s="145"/>
      <c r="BC120" s="145"/>
      <c r="BD120" s="145"/>
      <c r="BE120" s="145"/>
      <c r="BZ120" s="385" t="s">
        <v>260</v>
      </c>
      <c r="CA120" s="385" t="s">
        <v>271</v>
      </c>
      <c r="CB120" s="385" t="s">
        <v>261</v>
      </c>
      <c r="CE120" s="204"/>
    </row>
    <row r="121" s="385" customFormat="1" customHeight="1" spans="1:83">
      <c r="A121" s="385">
        <v>79</v>
      </c>
      <c r="C121" s="146">
        <v>44968</v>
      </c>
      <c r="D121" s="472">
        <v>20230001457</v>
      </c>
      <c r="F121" s="456" t="s">
        <v>1841</v>
      </c>
      <c r="G121" s="142" t="s">
        <v>1842</v>
      </c>
      <c r="H121" s="1031" t="s">
        <v>1843</v>
      </c>
      <c r="I121" s="451" t="s">
        <v>1844</v>
      </c>
      <c r="J121" s="385">
        <v>115.58</v>
      </c>
      <c r="K121" s="385">
        <v>115.58</v>
      </c>
      <c r="L121" s="385">
        <v>5452.23</v>
      </c>
      <c r="M121" s="464">
        <f>630223-55</f>
        <v>630168</v>
      </c>
      <c r="N121" s="465"/>
      <c r="O121" s="473">
        <v>578135.78</v>
      </c>
      <c r="P121" s="474" t="s">
        <v>1845</v>
      </c>
      <c r="Q121" s="476">
        <v>45617</v>
      </c>
      <c r="R121" s="145"/>
      <c r="S121" s="393"/>
      <c r="T121" s="142" t="s">
        <v>1842</v>
      </c>
      <c r="U121" s="142" t="s">
        <v>1842</v>
      </c>
      <c r="V121" s="145">
        <v>20000</v>
      </c>
      <c r="W121" s="146" t="s">
        <v>1363</v>
      </c>
      <c r="X121" s="145">
        <v>61223</v>
      </c>
      <c r="Y121" s="466" t="s">
        <v>1229</v>
      </c>
      <c r="Z121" s="145">
        <v>50000</v>
      </c>
      <c r="AA121" s="385" t="s">
        <v>1846</v>
      </c>
      <c r="AB121" s="145">
        <v>499000</v>
      </c>
      <c r="AC121" s="393" t="s">
        <v>680</v>
      </c>
      <c r="AD121" s="385">
        <v>-55</v>
      </c>
      <c r="AH121" s="145">
        <f t="shared" si="21"/>
        <v>630168</v>
      </c>
      <c r="AK121" s="390">
        <f t="shared" si="15"/>
        <v>0</v>
      </c>
      <c r="AL121" s="456" t="s">
        <v>1847</v>
      </c>
      <c r="AM121" s="456"/>
      <c r="AN121" s="475"/>
      <c r="AO121" s="475"/>
      <c r="AP121" s="475"/>
      <c r="AQ121" s="395">
        <f>0.5%+0.05%+0.14%+0.06%</f>
        <v>0.0075</v>
      </c>
      <c r="AR121" s="447">
        <f t="shared" si="14"/>
        <v>630223</v>
      </c>
      <c r="AS121" s="145"/>
      <c r="AT121" s="145"/>
      <c r="AU121" s="145"/>
      <c r="AV121" s="145"/>
      <c r="AW121" s="145">
        <v>131223</v>
      </c>
      <c r="AX121" s="145"/>
      <c r="AY121" s="449"/>
      <c r="AZ121" s="450"/>
      <c r="BA121" s="145"/>
      <c r="BB121" s="145"/>
      <c r="BC121" s="145"/>
      <c r="BD121" s="145">
        <v>499000</v>
      </c>
      <c r="BE121" s="145"/>
      <c r="BZ121" s="385" t="s">
        <v>260</v>
      </c>
      <c r="CA121" s="385" t="s">
        <v>271</v>
      </c>
      <c r="CB121" s="385" t="s">
        <v>261</v>
      </c>
      <c r="CE121" s="204"/>
    </row>
    <row r="122" s="385" customFormat="1" customHeight="1" spans="1:83">
      <c r="A122" s="385">
        <v>80</v>
      </c>
      <c r="C122" s="146">
        <v>44963</v>
      </c>
      <c r="D122" s="472">
        <v>20230000811</v>
      </c>
      <c r="F122" s="501" t="s">
        <v>1848</v>
      </c>
      <c r="G122" s="142" t="s">
        <v>1849</v>
      </c>
      <c r="H122" s="1031" t="s">
        <v>1850</v>
      </c>
      <c r="I122" s="441" t="s">
        <v>1851</v>
      </c>
      <c r="J122" s="385">
        <v>115.58</v>
      </c>
      <c r="K122" s="385">
        <v>115.58</v>
      </c>
      <c r="L122" s="385">
        <v>5328.38</v>
      </c>
      <c r="M122" s="464">
        <f>615908-53</f>
        <v>615855</v>
      </c>
      <c r="N122" s="465"/>
      <c r="O122" s="473">
        <v>565004.59</v>
      </c>
      <c r="P122" s="474" t="s">
        <v>1852</v>
      </c>
      <c r="Q122" s="476">
        <v>45617</v>
      </c>
      <c r="R122" s="145"/>
      <c r="S122" s="445"/>
      <c r="T122" s="453" t="s">
        <v>1853</v>
      </c>
      <c r="U122" s="445" t="s">
        <v>1854</v>
      </c>
      <c r="V122" s="145">
        <v>184908</v>
      </c>
      <c r="W122" s="385" t="s">
        <v>1298</v>
      </c>
      <c r="X122" s="145">
        <v>431000</v>
      </c>
      <c r="Y122" s="466" t="s">
        <v>1738</v>
      </c>
      <c r="Z122" s="145">
        <v>-53</v>
      </c>
      <c r="AB122" s="145"/>
      <c r="AH122" s="145">
        <f t="shared" si="21"/>
        <v>615855</v>
      </c>
      <c r="AK122" s="390">
        <f t="shared" si="15"/>
        <v>0</v>
      </c>
      <c r="AL122" s="456" t="s">
        <v>1855</v>
      </c>
      <c r="AM122" s="456"/>
      <c r="AN122" s="475"/>
      <c r="AO122" s="475"/>
      <c r="AP122" s="475"/>
      <c r="AQ122" s="395">
        <f t="shared" si="20"/>
        <v>0.0074</v>
      </c>
      <c r="AR122" s="447">
        <f t="shared" si="14"/>
        <v>615908</v>
      </c>
      <c r="AS122" s="145">
        <f>100</f>
        <v>100</v>
      </c>
      <c r="AT122" s="145">
        <v>100</v>
      </c>
      <c r="AU122" s="145"/>
      <c r="AV122" s="145">
        <v>184908</v>
      </c>
      <c r="AW122" s="145">
        <v>431000</v>
      </c>
      <c r="AX122" s="145"/>
      <c r="AY122" s="449"/>
      <c r="AZ122" s="450"/>
      <c r="BA122" s="145"/>
      <c r="BB122" s="145"/>
      <c r="BC122" s="145"/>
      <c r="BD122" s="145"/>
      <c r="BE122" s="145"/>
      <c r="BZ122" s="385" t="s">
        <v>260</v>
      </c>
      <c r="CA122" s="385" t="s">
        <v>271</v>
      </c>
      <c r="CB122" s="385" t="s">
        <v>261</v>
      </c>
      <c r="CE122" s="204"/>
    </row>
    <row r="123" s="385" customFormat="1" customHeight="1" spans="1:83">
      <c r="A123" s="385">
        <v>81</v>
      </c>
      <c r="C123" s="146">
        <v>44975</v>
      </c>
      <c r="D123" s="472">
        <v>20230001701</v>
      </c>
      <c r="F123" s="456" t="s">
        <v>1856</v>
      </c>
      <c r="G123" s="142" t="s">
        <v>1857</v>
      </c>
      <c r="H123" s="1031" t="s">
        <v>1858</v>
      </c>
      <c r="I123" s="451" t="s">
        <v>1859</v>
      </c>
      <c r="J123" s="385">
        <v>115.58</v>
      </c>
      <c r="K123" s="385">
        <v>115.58</v>
      </c>
      <c r="L123" s="385">
        <v>5347.38</v>
      </c>
      <c r="M123" s="464">
        <f>-53+618104</f>
        <v>618051</v>
      </c>
      <c r="N123" s="465"/>
      <c r="O123" s="473">
        <v>567019.27</v>
      </c>
      <c r="P123" s="474" t="s">
        <v>1860</v>
      </c>
      <c r="Q123" s="476">
        <v>45617</v>
      </c>
      <c r="R123" s="145"/>
      <c r="S123" s="445"/>
      <c r="T123" s="1034" t="s">
        <v>1861</v>
      </c>
      <c r="U123" s="393" t="s">
        <v>1862</v>
      </c>
      <c r="V123" s="145">
        <v>2000</v>
      </c>
      <c r="W123" s="146">
        <v>44752</v>
      </c>
      <c r="X123" s="145">
        <v>18000</v>
      </c>
      <c r="Y123" s="466" t="s">
        <v>1280</v>
      </c>
      <c r="Z123" s="145">
        <v>18104</v>
      </c>
      <c r="AA123" s="385" t="s">
        <v>647</v>
      </c>
      <c r="AB123" s="145">
        <v>20000</v>
      </c>
      <c r="AC123" s="445" t="s">
        <v>1691</v>
      </c>
      <c r="AD123" s="145">
        <v>70000</v>
      </c>
      <c r="AE123" s="445" t="s">
        <v>1412</v>
      </c>
      <c r="AF123" s="145">
        <f>-53+490000</f>
        <v>489947</v>
      </c>
      <c r="AG123" s="445" t="s">
        <v>1863</v>
      </c>
      <c r="AH123" s="145">
        <f t="shared" si="21"/>
        <v>618051</v>
      </c>
      <c r="AK123" s="390">
        <f t="shared" si="15"/>
        <v>0</v>
      </c>
      <c r="AL123" s="456" t="s">
        <v>1864</v>
      </c>
      <c r="AM123" s="456"/>
      <c r="AN123" s="475"/>
      <c r="AO123" s="475"/>
      <c r="AP123" s="475"/>
      <c r="AQ123" s="395">
        <f>0.4%+0.04%+0.1%+0.04%</f>
        <v>0.0058</v>
      </c>
      <c r="AR123" s="447">
        <f t="shared" si="14"/>
        <v>618104</v>
      </c>
      <c r="AS123" s="145"/>
      <c r="AT123" s="145">
        <v>100</v>
      </c>
      <c r="AU123" s="145"/>
      <c r="AV123" s="145"/>
      <c r="AW123" s="145"/>
      <c r="AX123" s="145"/>
      <c r="AY123" s="449"/>
      <c r="AZ123" s="450"/>
      <c r="BA123" s="145"/>
      <c r="BB123" s="145">
        <v>128104</v>
      </c>
      <c r="BC123" s="145"/>
      <c r="BD123" s="145">
        <v>490000</v>
      </c>
      <c r="BE123" s="145"/>
      <c r="BZ123" s="385" t="s">
        <v>260</v>
      </c>
      <c r="CA123" s="385" t="s">
        <v>271</v>
      </c>
      <c r="CB123" s="385" t="s">
        <v>261</v>
      </c>
      <c r="CE123" s="204"/>
    </row>
    <row r="124" s="385" customFormat="1" customHeight="1" spans="1:83">
      <c r="A124" s="385">
        <v>82</v>
      </c>
      <c r="C124" s="146">
        <v>44966</v>
      </c>
      <c r="D124" s="472">
        <v>20230001118</v>
      </c>
      <c r="F124" s="456" t="s">
        <v>1865</v>
      </c>
      <c r="G124" s="142" t="s">
        <v>1866</v>
      </c>
      <c r="H124" s="1031" t="s">
        <v>1867</v>
      </c>
      <c r="I124" s="441" t="s">
        <v>1868</v>
      </c>
      <c r="J124" s="385">
        <v>115.58</v>
      </c>
      <c r="K124" s="385">
        <v>115.58</v>
      </c>
      <c r="L124" s="385">
        <v>5353.38</v>
      </c>
      <c r="M124" s="464">
        <f>-54+618797</f>
        <v>618743</v>
      </c>
      <c r="N124" s="465"/>
      <c r="O124" s="473">
        <v>567654.13</v>
      </c>
      <c r="P124" s="474" t="s">
        <v>1869</v>
      </c>
      <c r="Q124" s="476">
        <v>45617</v>
      </c>
      <c r="R124" s="145"/>
      <c r="S124" s="393"/>
      <c r="T124" s="453" t="s">
        <v>1870</v>
      </c>
      <c r="U124" s="445" t="s">
        <v>1871</v>
      </c>
      <c r="V124" s="145">
        <v>289797</v>
      </c>
      <c r="W124" s="466" t="s">
        <v>1259</v>
      </c>
      <c r="X124" s="385">
        <v>30000</v>
      </c>
      <c r="Y124" s="385" t="s">
        <v>1228</v>
      </c>
      <c r="Z124" s="145">
        <v>299000</v>
      </c>
      <c r="AA124" s="393" t="s">
        <v>1872</v>
      </c>
      <c r="AB124" s="145">
        <v>-54</v>
      </c>
      <c r="AH124" s="145">
        <f t="shared" si="21"/>
        <v>618743</v>
      </c>
      <c r="AK124" s="390">
        <f t="shared" si="15"/>
        <v>0</v>
      </c>
      <c r="AL124" s="456" t="s">
        <v>1873</v>
      </c>
      <c r="AM124" s="456"/>
      <c r="AN124" s="475"/>
      <c r="AO124" s="475"/>
      <c r="AP124" s="475"/>
      <c r="AQ124" s="395">
        <f>0.4%+0.04%+0.1%</f>
        <v>0.0054</v>
      </c>
      <c r="AR124" s="447">
        <f t="shared" si="14"/>
        <v>618797</v>
      </c>
      <c r="AS124" s="145"/>
      <c r="AT124" s="145">
        <v>100</v>
      </c>
      <c r="AU124" s="145"/>
      <c r="AV124" s="145">
        <v>319797</v>
      </c>
      <c r="AW124" s="145"/>
      <c r="AX124" s="145"/>
      <c r="AY124" s="449"/>
      <c r="AZ124" s="450"/>
      <c r="BA124" s="145">
        <v>299000</v>
      </c>
      <c r="BB124" s="145"/>
      <c r="BC124" s="145"/>
      <c r="BD124" s="145"/>
      <c r="BE124" s="145"/>
      <c r="BZ124" s="385" t="s">
        <v>260</v>
      </c>
      <c r="CA124" s="385" t="s">
        <v>271</v>
      </c>
      <c r="CB124" s="385" t="s">
        <v>261</v>
      </c>
      <c r="CE124" s="204"/>
    </row>
    <row r="125" s="385" customFormat="1" customHeight="1" spans="1:83">
      <c r="A125" s="385">
        <v>83</v>
      </c>
      <c r="C125" s="146">
        <v>44967</v>
      </c>
      <c r="D125" s="472">
        <v>20230001276</v>
      </c>
      <c r="F125" s="456" t="s">
        <v>1874</v>
      </c>
      <c r="G125" s="142" t="s">
        <v>1875</v>
      </c>
      <c r="H125" s="1031" t="s">
        <v>1876</v>
      </c>
      <c r="I125" s="451" t="s">
        <v>1877</v>
      </c>
      <c r="J125" s="385">
        <v>115.58</v>
      </c>
      <c r="K125" s="385">
        <v>115.58</v>
      </c>
      <c r="L125" s="385">
        <v>5392.38</v>
      </c>
      <c r="M125" s="464">
        <f>-54+623305</f>
        <v>623251</v>
      </c>
      <c r="N125" s="465"/>
      <c r="O125" s="473">
        <v>571789.91</v>
      </c>
      <c r="P125" s="474" t="s">
        <v>1878</v>
      </c>
      <c r="Q125" s="476">
        <v>45617</v>
      </c>
      <c r="R125" s="145"/>
      <c r="S125" s="393"/>
      <c r="T125" s="394" t="s">
        <v>1879</v>
      </c>
      <c r="U125" s="393" t="s">
        <v>1880</v>
      </c>
      <c r="V125" s="145">
        <v>233305</v>
      </c>
      <c r="W125" s="385" t="s">
        <v>1228</v>
      </c>
      <c r="X125" s="145">
        <f>72000+18000</f>
        <v>90000</v>
      </c>
      <c r="Y125" s="393" t="s">
        <v>1881</v>
      </c>
      <c r="Z125" s="145">
        <v>300000</v>
      </c>
      <c r="AA125" s="393" t="s">
        <v>1882</v>
      </c>
      <c r="AB125" s="145">
        <v>-54</v>
      </c>
      <c r="AH125" s="145">
        <f t="shared" si="21"/>
        <v>623251</v>
      </c>
      <c r="AK125" s="390">
        <f t="shared" si="15"/>
        <v>0</v>
      </c>
      <c r="AL125" s="456" t="s">
        <v>1883</v>
      </c>
      <c r="AM125" s="456"/>
      <c r="AN125" s="475"/>
      <c r="AO125" s="475"/>
      <c r="AP125" s="475"/>
      <c r="AQ125" s="395">
        <f>0.6%+0.1%+0.04%</f>
        <v>0.0074</v>
      </c>
      <c r="AR125" s="447">
        <f t="shared" si="14"/>
        <v>623305</v>
      </c>
      <c r="AS125" s="145"/>
      <c r="AT125" s="145">
        <v>100</v>
      </c>
      <c r="AU125" s="145"/>
      <c r="AV125" s="145"/>
      <c r="AW125" s="145"/>
      <c r="AX125" s="145"/>
      <c r="AY125" s="449"/>
      <c r="AZ125" s="450"/>
      <c r="BA125" s="145">
        <v>323305</v>
      </c>
      <c r="BB125" s="145"/>
      <c r="BC125" s="145">
        <v>300000</v>
      </c>
      <c r="BD125" s="145"/>
      <c r="BE125" s="145"/>
      <c r="BZ125" s="385" t="s">
        <v>260</v>
      </c>
      <c r="CA125" s="385" t="s">
        <v>271</v>
      </c>
      <c r="CB125" s="385" t="s">
        <v>261</v>
      </c>
      <c r="CE125" s="204"/>
    </row>
    <row r="126" s="385" customFormat="1" customHeight="1" spans="1:83">
      <c r="A126" s="385">
        <v>84</v>
      </c>
      <c r="C126" s="146">
        <v>44965</v>
      </c>
      <c r="D126" s="472">
        <v>20230001043</v>
      </c>
      <c r="F126" s="456" t="s">
        <v>1884</v>
      </c>
      <c r="G126" s="142" t="s">
        <v>1885</v>
      </c>
      <c r="H126" s="1031" t="s">
        <v>1886</v>
      </c>
      <c r="I126" s="441" t="s">
        <v>1887</v>
      </c>
      <c r="J126" s="385">
        <v>115.58</v>
      </c>
      <c r="K126" s="385">
        <v>115.58</v>
      </c>
      <c r="L126" s="385">
        <v>5398.38</v>
      </c>
      <c r="M126" s="464">
        <f>-54+623999</f>
        <v>623945</v>
      </c>
      <c r="N126" s="465"/>
      <c r="O126" s="473">
        <v>572426.61</v>
      </c>
      <c r="P126" s="474" t="s">
        <v>1888</v>
      </c>
      <c r="Q126" s="476">
        <v>45617</v>
      </c>
      <c r="R126" s="145"/>
      <c r="S126" s="393"/>
      <c r="T126" s="394" t="s">
        <v>1889</v>
      </c>
      <c r="U126" s="393" t="s">
        <v>1890</v>
      </c>
      <c r="V126" s="145">
        <v>2000</v>
      </c>
      <c r="W126" s="146">
        <v>44775</v>
      </c>
      <c r="X126" s="145">
        <v>18000</v>
      </c>
      <c r="Y126" s="466" t="s">
        <v>1280</v>
      </c>
      <c r="Z126" s="145">
        <v>179999</v>
      </c>
      <c r="AA126" s="385" t="s">
        <v>1363</v>
      </c>
      <c r="AB126" s="145">
        <v>374000</v>
      </c>
      <c r="AC126" s="385" t="s">
        <v>1891</v>
      </c>
      <c r="AD126" s="145">
        <v>50000</v>
      </c>
      <c r="AE126" s="393" t="s">
        <v>1872</v>
      </c>
      <c r="AF126" s="385">
        <v>-54</v>
      </c>
      <c r="AH126" s="145">
        <f t="shared" si="21"/>
        <v>623945</v>
      </c>
      <c r="AK126" s="390">
        <f t="shared" si="15"/>
        <v>0</v>
      </c>
      <c r="AL126" s="456" t="s">
        <v>1892</v>
      </c>
      <c r="AM126" s="456"/>
      <c r="AN126" s="475"/>
      <c r="AO126" s="475"/>
      <c r="AP126" s="475"/>
      <c r="AQ126" s="395">
        <f>0.4%+0.04%+0.1%</f>
        <v>0.0054</v>
      </c>
      <c r="AR126" s="447">
        <f t="shared" si="14"/>
        <v>623999</v>
      </c>
      <c r="AS126" s="145"/>
      <c r="AT126" s="145"/>
      <c r="AU126" s="145"/>
      <c r="AV126" s="145"/>
      <c r="AW126" s="145"/>
      <c r="AX126" s="145"/>
      <c r="AY126" s="449"/>
      <c r="AZ126" s="455"/>
      <c r="BA126" s="145">
        <v>623999</v>
      </c>
      <c r="BB126" s="145"/>
      <c r="BC126" s="145"/>
      <c r="BD126" s="145"/>
      <c r="BE126" s="145"/>
      <c r="BZ126" s="385" t="s">
        <v>260</v>
      </c>
      <c r="CA126" s="385" t="s">
        <v>271</v>
      </c>
      <c r="CB126" s="385" t="s">
        <v>261</v>
      </c>
      <c r="CE126" s="204"/>
    </row>
    <row r="127" s="385" customFormat="1" customHeight="1" spans="1:83">
      <c r="A127" s="385">
        <v>85</v>
      </c>
      <c r="C127" s="146">
        <v>44966</v>
      </c>
      <c r="D127" s="472">
        <v>20230001164</v>
      </c>
      <c r="F127" s="456" t="s">
        <v>1893</v>
      </c>
      <c r="G127" s="448" t="s">
        <v>1894</v>
      </c>
      <c r="H127" s="1030" t="s">
        <v>1895</v>
      </c>
      <c r="I127" s="451" t="s">
        <v>1896</v>
      </c>
      <c r="J127" s="385">
        <v>115.58</v>
      </c>
      <c r="K127" s="385">
        <v>115.58</v>
      </c>
      <c r="L127" s="385">
        <v>5549.78</v>
      </c>
      <c r="M127" s="464">
        <f>-55+641500</f>
        <v>641445</v>
      </c>
      <c r="N127" s="465"/>
      <c r="O127" s="473">
        <v>588481.65</v>
      </c>
      <c r="P127" s="474" t="s">
        <v>1897</v>
      </c>
      <c r="Q127" s="476">
        <v>45617</v>
      </c>
      <c r="R127" s="145"/>
      <c r="S127" s="393"/>
      <c r="T127" s="448" t="s">
        <v>1894</v>
      </c>
      <c r="U127" s="448" t="s">
        <v>1894</v>
      </c>
      <c r="V127" s="145">
        <v>10000</v>
      </c>
      <c r="W127" s="146" t="s">
        <v>1363</v>
      </c>
      <c r="X127" s="145">
        <v>122500</v>
      </c>
      <c r="Y127" s="146" t="s">
        <v>1259</v>
      </c>
      <c r="Z127" s="145">
        <v>10000</v>
      </c>
      <c r="AA127" s="146" t="s">
        <v>1898</v>
      </c>
      <c r="AB127" s="145">
        <v>499000</v>
      </c>
      <c r="AC127" s="393" t="s">
        <v>1899</v>
      </c>
      <c r="AD127" s="385">
        <v>-55</v>
      </c>
      <c r="AH127" s="145">
        <f t="shared" si="21"/>
        <v>641445</v>
      </c>
      <c r="AK127" s="390">
        <f t="shared" si="15"/>
        <v>0</v>
      </c>
      <c r="AL127" s="456" t="s">
        <v>1900</v>
      </c>
      <c r="AM127" s="456"/>
      <c r="AN127" s="475"/>
      <c r="AO127" s="475"/>
      <c r="AP127" s="475"/>
      <c r="AQ127" s="395">
        <f>0.4%+0.04%+0.14%</f>
        <v>0.0058</v>
      </c>
      <c r="AR127" s="447">
        <f t="shared" si="14"/>
        <v>641500</v>
      </c>
      <c r="AS127" s="145"/>
      <c r="AT127" s="145"/>
      <c r="AU127" s="145"/>
      <c r="AV127" s="145">
        <v>132500</v>
      </c>
      <c r="AW127" s="145"/>
      <c r="AX127" s="145"/>
      <c r="AY127" s="449"/>
      <c r="AZ127" s="450"/>
      <c r="BA127" s="145">
        <v>509000</v>
      </c>
      <c r="BB127" s="145"/>
      <c r="BC127" s="145"/>
      <c r="BD127" s="145"/>
      <c r="BE127" s="145"/>
      <c r="BZ127" s="385" t="s">
        <v>260</v>
      </c>
      <c r="CA127" s="385" t="s">
        <v>271</v>
      </c>
      <c r="CB127" s="385" t="s">
        <v>261</v>
      </c>
      <c r="CE127" s="204"/>
    </row>
    <row r="128" s="385" customFormat="1" customHeight="1" spans="1:83">
      <c r="A128" s="385">
        <v>86</v>
      </c>
      <c r="C128" s="146">
        <v>45044</v>
      </c>
      <c r="D128" s="472">
        <v>20230003749</v>
      </c>
      <c r="F128" s="456" t="s">
        <v>1901</v>
      </c>
      <c r="G128" s="448" t="s">
        <v>1902</v>
      </c>
      <c r="H128" s="1030" t="s">
        <v>1903</v>
      </c>
      <c r="I128" s="441" t="s">
        <v>1904</v>
      </c>
      <c r="J128" s="385">
        <v>115.58</v>
      </c>
      <c r="K128" s="385">
        <v>115.58</v>
      </c>
      <c r="L128" s="385">
        <v>5500</v>
      </c>
      <c r="M128" s="464">
        <f>-55+635745</f>
        <v>635690</v>
      </c>
      <c r="N128" s="465"/>
      <c r="O128" s="473">
        <v>583201.83</v>
      </c>
      <c r="P128" s="474" t="s">
        <v>1905</v>
      </c>
      <c r="Q128" s="476">
        <v>45617</v>
      </c>
      <c r="R128" s="145"/>
      <c r="S128" s="393"/>
      <c r="T128" s="393" t="s">
        <v>1906</v>
      </c>
      <c r="U128" s="393" t="s">
        <v>1907</v>
      </c>
      <c r="V128" s="145">
        <f>2000</f>
        <v>2000</v>
      </c>
      <c r="W128" s="146">
        <v>44751</v>
      </c>
      <c r="X128" s="145">
        <v>18000</v>
      </c>
      <c r="Y128" s="471" t="s">
        <v>1229</v>
      </c>
      <c r="Z128" s="145">
        <v>100000</v>
      </c>
      <c r="AA128" s="385" t="s">
        <v>1908</v>
      </c>
      <c r="AB128" s="145">
        <v>185745</v>
      </c>
      <c r="AC128" s="385" t="s">
        <v>1364</v>
      </c>
      <c r="AD128" s="385">
        <v>330000</v>
      </c>
      <c r="AE128" s="385" t="s">
        <v>1282</v>
      </c>
      <c r="AF128" s="385">
        <v>-55</v>
      </c>
      <c r="AG128" s="146">
        <v>45909</v>
      </c>
      <c r="AH128" s="145">
        <f t="shared" si="21"/>
        <v>635690</v>
      </c>
      <c r="AK128" s="390">
        <f t="shared" si="15"/>
        <v>0</v>
      </c>
      <c r="AL128" s="456" t="s">
        <v>1909</v>
      </c>
      <c r="AM128" s="456"/>
      <c r="AN128" s="475"/>
      <c r="AO128" s="475"/>
      <c r="AP128" s="475"/>
      <c r="AQ128" s="395">
        <f>0.6%+0.06%+0.14%</f>
        <v>0.008</v>
      </c>
      <c r="AR128" s="447">
        <f t="shared" si="14"/>
        <v>635754</v>
      </c>
      <c r="AS128" s="145"/>
      <c r="AT128" s="145"/>
      <c r="AU128" s="145"/>
      <c r="AV128" s="145"/>
      <c r="AW128" s="145"/>
      <c r="AX128" s="145">
        <v>305754</v>
      </c>
      <c r="AY128" s="449">
        <v>330000</v>
      </c>
      <c r="AZ128" s="450"/>
      <c r="BA128" s="145"/>
      <c r="BB128" s="145"/>
      <c r="BC128" s="145"/>
      <c r="BD128" s="145"/>
      <c r="BE128" s="145"/>
      <c r="BZ128" s="385" t="s">
        <v>260</v>
      </c>
      <c r="CA128" s="385" t="s">
        <v>271</v>
      </c>
      <c r="CB128" s="385" t="s">
        <v>261</v>
      </c>
      <c r="CE128" s="204"/>
    </row>
    <row r="129" s="385" customFormat="1" customHeight="1" spans="1:83">
      <c r="A129" s="385">
        <v>87</v>
      </c>
      <c r="C129" s="146">
        <v>44965</v>
      </c>
      <c r="D129" s="472">
        <v>20230001057</v>
      </c>
      <c r="F129" s="456" t="s">
        <v>1910</v>
      </c>
      <c r="G129" s="468" t="s">
        <v>1911</v>
      </c>
      <c r="H129" s="1028" t="s">
        <v>1912</v>
      </c>
      <c r="I129" s="441" t="s">
        <v>1913</v>
      </c>
      <c r="J129" s="385">
        <v>115.58</v>
      </c>
      <c r="K129" s="385">
        <v>115.58</v>
      </c>
      <c r="L129" s="385">
        <v>6572.42</v>
      </c>
      <c r="M129" s="464">
        <f>-66+759706</f>
        <v>759640</v>
      </c>
      <c r="N129" s="465"/>
      <c r="O129" s="473">
        <v>696917.43</v>
      </c>
      <c r="P129" s="474" t="s">
        <v>1914</v>
      </c>
      <c r="Q129" s="476">
        <v>45617</v>
      </c>
      <c r="R129" s="145"/>
      <c r="S129" s="393"/>
      <c r="T129" s="453" t="s">
        <v>1915</v>
      </c>
      <c r="U129" s="445" t="s">
        <v>1916</v>
      </c>
      <c r="V129" s="145">
        <v>39706</v>
      </c>
      <c r="W129" s="385" t="s">
        <v>1265</v>
      </c>
      <c r="X129" s="145">
        <v>390000</v>
      </c>
      <c r="Y129" s="385" t="s">
        <v>809</v>
      </c>
      <c r="Z129" s="145">
        <v>330000</v>
      </c>
      <c r="AA129" s="385" t="s">
        <v>1509</v>
      </c>
      <c r="AB129" s="145">
        <v>-66</v>
      </c>
      <c r="AH129" s="145">
        <f t="shared" ref="AH129:AH160" si="22">V129+X129+Z129+AB129+AD129+AF129</f>
        <v>759640</v>
      </c>
      <c r="AK129" s="390">
        <f t="shared" si="15"/>
        <v>0</v>
      </c>
      <c r="AL129" s="456" t="s">
        <v>1917</v>
      </c>
      <c r="AM129" s="456"/>
      <c r="AN129" s="475"/>
      <c r="AO129" s="475"/>
      <c r="AP129" s="475"/>
      <c r="AQ129" s="395">
        <f>0.6%+0.1%</f>
        <v>0.007</v>
      </c>
      <c r="AR129" s="447">
        <f t="shared" si="14"/>
        <v>759706</v>
      </c>
      <c r="AS129" s="145"/>
      <c r="AT129" s="145">
        <f>100+100</f>
        <v>200</v>
      </c>
      <c r="AU129" s="145"/>
      <c r="AV129" s="145"/>
      <c r="AW129" s="145"/>
      <c r="AX129" s="145">
        <v>429706</v>
      </c>
      <c r="AY129" s="449">
        <v>330000</v>
      </c>
      <c r="AZ129" s="450"/>
      <c r="BA129" s="145"/>
      <c r="BB129" s="145"/>
      <c r="BC129" s="145"/>
      <c r="BD129" s="145"/>
      <c r="BE129" s="145"/>
      <c r="BZ129" s="385" t="s">
        <v>260</v>
      </c>
      <c r="CA129" s="385" t="s">
        <v>271</v>
      </c>
      <c r="CB129" s="385" t="s">
        <v>261</v>
      </c>
      <c r="CE129" s="204"/>
    </row>
    <row r="130" s="385" customFormat="1" customHeight="1" spans="1:83">
      <c r="A130" s="385">
        <v>88</v>
      </c>
      <c r="C130" s="146">
        <v>44964</v>
      </c>
      <c r="D130" s="448">
        <v>20230000895</v>
      </c>
      <c r="F130" s="503" t="s">
        <v>1918</v>
      </c>
      <c r="G130" s="468" t="s">
        <v>1919</v>
      </c>
      <c r="H130" s="1028" t="s">
        <v>1920</v>
      </c>
      <c r="I130" s="441" t="s">
        <v>1921</v>
      </c>
      <c r="J130" s="385">
        <v>115.58</v>
      </c>
      <c r="K130" s="385">
        <v>115.58</v>
      </c>
      <c r="L130" s="385">
        <v>6630.42</v>
      </c>
      <c r="M130" s="464">
        <f>-66+766410</f>
        <v>766344</v>
      </c>
      <c r="N130" s="465"/>
      <c r="O130" s="473">
        <v>703067.89</v>
      </c>
      <c r="P130" s="474" t="s">
        <v>1922</v>
      </c>
      <c r="Q130" s="476">
        <v>45617</v>
      </c>
      <c r="R130" s="145"/>
      <c r="S130" s="393"/>
      <c r="T130" s="453" t="s">
        <v>1923</v>
      </c>
      <c r="U130" s="445" t="s">
        <v>1924</v>
      </c>
      <c r="V130" s="145">
        <v>26410</v>
      </c>
      <c r="W130" s="471" t="s">
        <v>1324</v>
      </c>
      <c r="X130" s="145">
        <v>479000</v>
      </c>
      <c r="Y130" s="385" t="s">
        <v>1363</v>
      </c>
      <c r="Z130" s="145">
        <v>140000</v>
      </c>
      <c r="AA130" s="385" t="s">
        <v>1925</v>
      </c>
      <c r="AB130" s="145">
        <v>121000</v>
      </c>
      <c r="AC130" s="393" t="s">
        <v>1926</v>
      </c>
      <c r="AD130" s="385">
        <v>-66</v>
      </c>
      <c r="AH130" s="145">
        <f t="shared" si="22"/>
        <v>766344</v>
      </c>
      <c r="AK130" s="390">
        <f t="shared" si="15"/>
        <v>0</v>
      </c>
      <c r="AL130" s="456" t="s">
        <v>1927</v>
      </c>
      <c r="AM130" s="456"/>
      <c r="AN130" s="475"/>
      <c r="AO130" s="475"/>
      <c r="AP130" s="475"/>
      <c r="AQ130" s="395">
        <f>0.6%+0.04%+0.1%</f>
        <v>0.0074</v>
      </c>
      <c r="AR130" s="447">
        <f t="shared" si="14"/>
        <v>766410</v>
      </c>
      <c r="AS130" s="145"/>
      <c r="AT130" s="145">
        <v>100</v>
      </c>
      <c r="AU130" s="145"/>
      <c r="AV130" s="145">
        <v>505410</v>
      </c>
      <c r="AW130" s="145"/>
      <c r="AX130" s="145"/>
      <c r="AY130" s="449"/>
      <c r="AZ130" s="450"/>
      <c r="BA130" s="145">
        <v>261000</v>
      </c>
      <c r="BB130" s="145"/>
      <c r="BC130" s="145"/>
      <c r="BD130" s="145"/>
      <c r="BE130" s="145"/>
      <c r="BZ130" s="385" t="s">
        <v>260</v>
      </c>
      <c r="CA130" s="385" t="s">
        <v>271</v>
      </c>
      <c r="CB130" s="385" t="s">
        <v>261</v>
      </c>
      <c r="CE130" s="204"/>
    </row>
    <row r="131" s="385" customFormat="1" ht="65" customHeight="1" spans="1:83">
      <c r="A131" s="385">
        <v>89</v>
      </c>
      <c r="C131" s="146">
        <v>44963</v>
      </c>
      <c r="D131" s="448">
        <v>20230000774</v>
      </c>
      <c r="F131" s="456" t="s">
        <v>1928</v>
      </c>
      <c r="G131" s="468" t="s">
        <v>406</v>
      </c>
      <c r="H131" s="1028" t="s">
        <v>1929</v>
      </c>
      <c r="I131" s="441" t="s">
        <v>1930</v>
      </c>
      <c r="J131" s="385">
        <v>143.33</v>
      </c>
      <c r="K131" s="385">
        <v>143.33</v>
      </c>
      <c r="L131" s="385">
        <v>7857</v>
      </c>
      <c r="M131" s="389">
        <v>1126144</v>
      </c>
      <c r="N131" s="145"/>
      <c r="O131" s="390">
        <v>1033159.63</v>
      </c>
      <c r="P131" s="1035" t="s">
        <v>1931</v>
      </c>
      <c r="Q131" s="504">
        <v>45630</v>
      </c>
      <c r="R131" s="145"/>
      <c r="S131" s="445"/>
      <c r="T131" s="453" t="s">
        <v>1932</v>
      </c>
      <c r="U131" s="445" t="s">
        <v>1933</v>
      </c>
      <c r="V131" s="145">
        <f>4000-4000</f>
        <v>0</v>
      </c>
      <c r="W131" s="440" t="s">
        <v>1934</v>
      </c>
      <c r="X131" s="145">
        <v>487144</v>
      </c>
      <c r="Y131" s="471" t="s">
        <v>1298</v>
      </c>
      <c r="Z131" s="145">
        <v>140000</v>
      </c>
      <c r="AA131" s="146" t="s">
        <v>1891</v>
      </c>
      <c r="AB131" s="145">
        <v>499000</v>
      </c>
      <c r="AC131" s="445" t="s">
        <v>1935</v>
      </c>
      <c r="AH131" s="145">
        <f t="shared" si="22"/>
        <v>1126144</v>
      </c>
      <c r="AK131" s="390">
        <f t="shared" si="15"/>
        <v>0</v>
      </c>
      <c r="AL131" s="456" t="s">
        <v>1936</v>
      </c>
      <c r="AM131" s="456"/>
      <c r="AN131" s="469"/>
      <c r="AO131" s="469"/>
      <c r="AP131" s="469"/>
      <c r="AQ131" s="395">
        <f>0.6%+0.04%+0.1%+0.04%</f>
        <v>0.0078</v>
      </c>
      <c r="AR131" s="447">
        <f t="shared" si="14"/>
        <v>1126144</v>
      </c>
      <c r="AS131" s="145">
        <f t="shared" ref="AS131:AS133" si="23">100</f>
        <v>100</v>
      </c>
      <c r="AT131" s="145">
        <f>100+100+100+100</f>
        <v>400</v>
      </c>
      <c r="AU131" s="145"/>
      <c r="AV131" s="145"/>
      <c r="AW131" s="145">
        <v>627144</v>
      </c>
      <c r="AX131" s="145"/>
      <c r="AY131" s="449"/>
      <c r="AZ131" s="455"/>
      <c r="BA131" s="145"/>
      <c r="BB131" s="145">
        <v>499000</v>
      </c>
      <c r="BC131" s="145"/>
      <c r="BD131" s="145"/>
      <c r="BE131" s="145"/>
      <c r="BZ131" s="385" t="s">
        <v>260</v>
      </c>
      <c r="CA131" s="385" t="s">
        <v>271</v>
      </c>
      <c r="CB131" s="385" t="s">
        <v>261</v>
      </c>
      <c r="CE131" s="204"/>
    </row>
    <row r="132" s="386" customFormat="1" customHeight="1" spans="1:83">
      <c r="A132" s="505">
        <v>90</v>
      </c>
      <c r="B132" s="204"/>
      <c r="C132" s="204"/>
      <c r="D132" s="479"/>
      <c r="E132" s="204"/>
      <c r="F132" s="479"/>
      <c r="G132" s="506"/>
      <c r="H132" s="490"/>
      <c r="I132" s="507" t="s">
        <v>1937</v>
      </c>
      <c r="J132" s="204">
        <v>152.79</v>
      </c>
      <c r="K132" s="204"/>
      <c r="L132" s="204"/>
      <c r="M132" s="492"/>
      <c r="N132" s="493">
        <v>8079.72</v>
      </c>
      <c r="O132" s="482"/>
      <c r="P132" s="483"/>
      <c r="Q132" s="483"/>
      <c r="R132" s="431"/>
      <c r="S132" s="494"/>
      <c r="T132" s="494"/>
      <c r="U132" s="494"/>
      <c r="V132" s="431"/>
      <c r="W132" s="508"/>
      <c r="X132" s="431"/>
      <c r="Y132" s="435"/>
      <c r="Z132" s="431"/>
      <c r="AA132" s="484"/>
      <c r="AB132" s="431"/>
      <c r="AC132" s="204"/>
      <c r="AD132" s="204"/>
      <c r="AE132" s="204"/>
      <c r="AF132" s="204"/>
      <c r="AG132" s="204"/>
      <c r="AH132" s="145">
        <f t="shared" si="22"/>
        <v>0</v>
      </c>
      <c r="AI132" s="204"/>
      <c r="AJ132" s="204"/>
      <c r="AK132" s="432">
        <f t="shared" si="15"/>
        <v>0</v>
      </c>
      <c r="AL132" s="479"/>
      <c r="AM132" s="479"/>
      <c r="AN132" s="485"/>
      <c r="AO132" s="485"/>
      <c r="AP132" s="485"/>
      <c r="AQ132" s="509"/>
      <c r="AR132" s="438">
        <f t="shared" si="14"/>
        <v>0</v>
      </c>
      <c r="AS132" s="510">
        <f t="shared" si="23"/>
        <v>100</v>
      </c>
      <c r="AT132" s="510">
        <f>100+100+100</f>
        <v>300</v>
      </c>
      <c r="AU132" s="510"/>
      <c r="AV132" s="510"/>
      <c r="AW132" s="510"/>
      <c r="AX132" s="510"/>
      <c r="AY132" s="511"/>
      <c r="AZ132" s="512"/>
      <c r="BA132" s="510"/>
      <c r="BB132" s="510"/>
      <c r="BC132" s="510"/>
      <c r="BD132" s="510"/>
      <c r="BE132" s="510"/>
      <c r="CE132" s="204"/>
    </row>
    <row r="133" s="385" customFormat="1" customHeight="1" spans="1:83">
      <c r="A133" s="385">
        <v>91</v>
      </c>
      <c r="C133" s="146">
        <v>44965</v>
      </c>
      <c r="D133" s="472">
        <v>20230001006</v>
      </c>
      <c r="F133" s="456" t="s">
        <v>1938</v>
      </c>
      <c r="G133" s="448" t="s">
        <v>1939</v>
      </c>
      <c r="H133" s="1030" t="s">
        <v>1940</v>
      </c>
      <c r="I133" s="441" t="s">
        <v>1941</v>
      </c>
      <c r="J133" s="385">
        <v>142.14</v>
      </c>
      <c r="K133" s="385">
        <v>142.14</v>
      </c>
      <c r="L133" s="385">
        <v>5086.1</v>
      </c>
      <c r="M133" s="464">
        <v>722938</v>
      </c>
      <c r="N133" s="465"/>
      <c r="O133" s="473">
        <v>663245.87</v>
      </c>
      <c r="P133" s="474" t="s">
        <v>1942</v>
      </c>
      <c r="Q133" s="504">
        <v>45630</v>
      </c>
      <c r="R133" s="145"/>
      <c r="S133" s="393"/>
      <c r="T133" s="394" t="s">
        <v>1943</v>
      </c>
      <c r="U133" s="393" t="s">
        <v>1944</v>
      </c>
      <c r="V133" s="145">
        <v>122938</v>
      </c>
      <c r="W133" s="385" t="s">
        <v>1363</v>
      </c>
      <c r="X133" s="145">
        <v>110000</v>
      </c>
      <c r="Y133" s="385" t="s">
        <v>1490</v>
      </c>
      <c r="Z133" s="145">
        <v>490000</v>
      </c>
      <c r="AA133" s="393" t="s">
        <v>1057</v>
      </c>
      <c r="AB133" s="145"/>
      <c r="AH133" s="145">
        <f t="shared" si="22"/>
        <v>722938</v>
      </c>
      <c r="AK133" s="390">
        <f t="shared" si="15"/>
        <v>0</v>
      </c>
      <c r="AL133" s="456" t="s">
        <v>1945</v>
      </c>
      <c r="AM133" s="456"/>
      <c r="AN133" s="475"/>
      <c r="AO133" s="475"/>
      <c r="AP133" s="475"/>
      <c r="AQ133" s="395">
        <f>0.6%+0.1%</f>
        <v>0.007</v>
      </c>
      <c r="AR133" s="447">
        <f t="shared" si="14"/>
        <v>722938</v>
      </c>
      <c r="AS133" s="145">
        <f t="shared" si="23"/>
        <v>100</v>
      </c>
      <c r="AT133" s="145"/>
      <c r="AU133" s="145"/>
      <c r="AV133" s="145">
        <v>232938</v>
      </c>
      <c r="AW133" s="145"/>
      <c r="AX133" s="145"/>
      <c r="AY133" s="449"/>
      <c r="AZ133" s="450"/>
      <c r="BA133" s="145">
        <v>490000</v>
      </c>
      <c r="BB133" s="145"/>
      <c r="BC133" s="145"/>
      <c r="BD133" s="145"/>
      <c r="BE133" s="145"/>
      <c r="BZ133" s="385" t="s">
        <v>260</v>
      </c>
      <c r="CA133" s="385" t="s">
        <v>271</v>
      </c>
      <c r="CB133" s="385" t="s">
        <v>261</v>
      </c>
      <c r="CE133" s="204"/>
    </row>
    <row r="134" s="385" customFormat="1" customHeight="1" spans="1:83">
      <c r="A134" s="385">
        <v>92</v>
      </c>
      <c r="C134" s="146">
        <v>45061</v>
      </c>
      <c r="D134" s="472">
        <v>20230004123</v>
      </c>
      <c r="F134" s="456" t="s">
        <v>1946</v>
      </c>
      <c r="G134" s="448" t="s">
        <v>1947</v>
      </c>
      <c r="H134" s="1030" t="s">
        <v>1948</v>
      </c>
      <c r="I134" s="451" t="s">
        <v>1949</v>
      </c>
      <c r="J134" s="385">
        <v>151.48</v>
      </c>
      <c r="K134" s="385">
        <v>151.48</v>
      </c>
      <c r="L134" s="385">
        <v>5253.73</v>
      </c>
      <c r="M134" s="464">
        <f>805888-10000-53</f>
        <v>795835</v>
      </c>
      <c r="N134" s="465">
        <v>5246.59</v>
      </c>
      <c r="O134" s="473">
        <v>730123.85</v>
      </c>
      <c r="P134" s="474" t="s">
        <v>1950</v>
      </c>
      <c r="Q134" s="504">
        <v>45630</v>
      </c>
      <c r="R134" s="145"/>
      <c r="S134" s="393"/>
      <c r="T134" s="393"/>
      <c r="U134" s="393" t="s">
        <v>1951</v>
      </c>
      <c r="V134" s="145">
        <v>20000</v>
      </c>
      <c r="W134" s="393" t="s">
        <v>835</v>
      </c>
      <c r="X134" s="145">
        <v>225888</v>
      </c>
      <c r="Y134" s="146" t="s">
        <v>1952</v>
      </c>
      <c r="Z134" s="145">
        <v>550000</v>
      </c>
      <c r="AA134" s="146" t="s">
        <v>1653</v>
      </c>
      <c r="AB134" s="145">
        <v>-53</v>
      </c>
      <c r="AC134" s="146">
        <v>45909</v>
      </c>
      <c r="AD134" s="146"/>
      <c r="AE134" s="146"/>
      <c r="AF134" s="146"/>
      <c r="AG134" s="146"/>
      <c r="AH134" s="145">
        <f t="shared" si="22"/>
        <v>795835</v>
      </c>
      <c r="AK134" s="390">
        <f t="shared" si="15"/>
        <v>0</v>
      </c>
      <c r="AL134" s="456" t="s">
        <v>1953</v>
      </c>
      <c r="AM134" s="456"/>
      <c r="AN134" s="475"/>
      <c r="AO134" s="475"/>
      <c r="AP134" s="475"/>
      <c r="AQ134" s="395">
        <f>0.6%+0.06%+0.14%</f>
        <v>0.008</v>
      </c>
      <c r="AR134" s="447">
        <f t="shared" ref="AR134:AR197" si="24">SUM(AU134:BU134)</f>
        <v>795888</v>
      </c>
      <c r="AS134" s="145"/>
      <c r="AT134" s="145"/>
      <c r="AU134" s="145"/>
      <c r="AV134" s="145"/>
      <c r="AW134" s="145"/>
      <c r="AX134" s="145"/>
      <c r="AY134" s="223">
        <v>245888</v>
      </c>
      <c r="AZ134" s="300">
        <v>550000</v>
      </c>
      <c r="BA134" s="145"/>
      <c r="BB134" s="145"/>
      <c r="BC134" s="145"/>
      <c r="BD134" s="145"/>
      <c r="BE134" s="145"/>
      <c r="BZ134" s="385" t="s">
        <v>260</v>
      </c>
      <c r="CA134" s="385" t="s">
        <v>271</v>
      </c>
      <c r="CB134" s="385" t="s">
        <v>261</v>
      </c>
      <c r="CE134" s="204"/>
    </row>
    <row r="135" s="385" customFormat="1" customHeight="1" spans="1:83">
      <c r="A135" s="385">
        <v>93</v>
      </c>
      <c r="C135" s="146">
        <v>44968</v>
      </c>
      <c r="D135" s="385">
        <v>20230001471</v>
      </c>
      <c r="F135" s="513" t="s">
        <v>1954</v>
      </c>
      <c r="G135" s="468" t="s">
        <v>1955</v>
      </c>
      <c r="H135" s="1028" t="s">
        <v>1956</v>
      </c>
      <c r="I135" s="441" t="s">
        <v>1957</v>
      </c>
      <c r="J135" s="385">
        <v>142.14</v>
      </c>
      <c r="K135" s="385">
        <v>142.14</v>
      </c>
      <c r="L135" s="385">
        <v>5136.38</v>
      </c>
      <c r="M135" s="464">
        <v>730085</v>
      </c>
      <c r="N135" s="465"/>
      <c r="O135" s="473">
        <v>669802.75</v>
      </c>
      <c r="P135" s="474" t="s">
        <v>1958</v>
      </c>
      <c r="Q135" s="504">
        <v>45630</v>
      </c>
      <c r="R135" s="145"/>
      <c r="S135" s="445"/>
      <c r="T135" s="453" t="s">
        <v>1959</v>
      </c>
      <c r="U135" s="445" t="s">
        <v>1960</v>
      </c>
      <c r="V135" s="145">
        <v>400085</v>
      </c>
      <c r="W135" s="471" t="s">
        <v>1229</v>
      </c>
      <c r="X135" s="145">
        <v>330000</v>
      </c>
      <c r="Y135" s="471" t="s">
        <v>1333</v>
      </c>
      <c r="Z135" s="145"/>
      <c r="AA135" s="471"/>
      <c r="AB135" s="145"/>
      <c r="AH135" s="145">
        <f t="shared" si="22"/>
        <v>730085</v>
      </c>
      <c r="AK135" s="390">
        <f t="shared" si="15"/>
        <v>0</v>
      </c>
      <c r="AL135" s="456" t="s">
        <v>1961</v>
      </c>
      <c r="AM135" s="456"/>
      <c r="AN135" s="475"/>
      <c r="AO135" s="475"/>
      <c r="AP135" s="475"/>
      <c r="AQ135" s="395">
        <f>0.6%+0.04%+0.1%</f>
        <v>0.0074</v>
      </c>
      <c r="AR135" s="447">
        <f t="shared" si="24"/>
        <v>730085</v>
      </c>
      <c r="AS135" s="145">
        <f>100</f>
        <v>100</v>
      </c>
      <c r="AT135" s="145">
        <f>100+100+100</f>
        <v>300</v>
      </c>
      <c r="AU135" s="145"/>
      <c r="AV135" s="145">
        <v>400085</v>
      </c>
      <c r="AW135" s="145">
        <v>330000</v>
      </c>
      <c r="AX135" s="145"/>
      <c r="AY135" s="449"/>
      <c r="AZ135" s="450"/>
      <c r="BA135" s="145"/>
      <c r="BB135" s="145"/>
      <c r="BC135" s="145"/>
      <c r="BD135" s="145"/>
      <c r="BE135" s="145"/>
      <c r="BZ135" s="385" t="s">
        <v>260</v>
      </c>
      <c r="CA135" s="385" t="s">
        <v>271</v>
      </c>
      <c r="CB135" s="385" t="s">
        <v>261</v>
      </c>
      <c r="CE135" s="204"/>
    </row>
    <row r="136" s="385" customFormat="1" ht="71" customHeight="1" spans="1:83">
      <c r="A136" s="385">
        <v>94</v>
      </c>
      <c r="C136" s="146">
        <v>45042</v>
      </c>
      <c r="D136" s="385">
        <v>20230003708</v>
      </c>
      <c r="F136" s="456" t="s">
        <v>1962</v>
      </c>
      <c r="G136" s="468" t="s">
        <v>1963</v>
      </c>
      <c r="H136" s="1028" t="s">
        <v>1964</v>
      </c>
      <c r="I136" s="451" t="s">
        <v>1965</v>
      </c>
      <c r="J136" s="385">
        <v>151.48</v>
      </c>
      <c r="K136" s="385">
        <v>151.48</v>
      </c>
      <c r="L136" s="385">
        <v>5313.88</v>
      </c>
      <c r="M136" s="389">
        <f>-53+805000</f>
        <v>804947</v>
      </c>
      <c r="N136" s="145">
        <v>5298.56</v>
      </c>
      <c r="O136" s="390">
        <v>738483.49</v>
      </c>
      <c r="P136" s="514" t="s">
        <v>1966</v>
      </c>
      <c r="Q136" s="504">
        <v>45630</v>
      </c>
      <c r="R136" s="145"/>
      <c r="S136" s="393"/>
      <c r="T136" s="445" t="s">
        <v>1967</v>
      </c>
      <c r="U136" s="445" t="s">
        <v>1968</v>
      </c>
      <c r="V136" s="145">
        <f>1000-1000+20000</f>
        <v>20000</v>
      </c>
      <c r="W136" s="515" t="s">
        <v>1969</v>
      </c>
      <c r="X136" s="145">
        <v>175000</v>
      </c>
      <c r="Y136" s="146" t="s">
        <v>1970</v>
      </c>
      <c r="Z136" s="145">
        <v>610000</v>
      </c>
      <c r="AA136" s="393" t="s">
        <v>1971</v>
      </c>
      <c r="AB136" s="145">
        <v>-53</v>
      </c>
      <c r="AC136" s="146">
        <v>45909</v>
      </c>
      <c r="AD136" s="516"/>
      <c r="AE136" s="516"/>
      <c r="AF136" s="516"/>
      <c r="AG136" s="516"/>
      <c r="AH136" s="145">
        <f t="shared" si="22"/>
        <v>804947</v>
      </c>
      <c r="AK136" s="390">
        <f t="shared" si="15"/>
        <v>0</v>
      </c>
      <c r="AL136" s="456" t="s">
        <v>1972</v>
      </c>
      <c r="AM136" s="456"/>
      <c r="AN136" s="469"/>
      <c r="AO136" s="469"/>
      <c r="AP136" s="469"/>
      <c r="AQ136" s="395">
        <f>0.4%+0.05%+0.14%+0.06%</f>
        <v>0.0065</v>
      </c>
      <c r="AR136" s="447">
        <f t="shared" si="24"/>
        <v>805000</v>
      </c>
      <c r="AS136" s="145"/>
      <c r="AT136" s="145">
        <v>100</v>
      </c>
      <c r="AU136" s="145"/>
      <c r="AV136" s="145"/>
      <c r="AW136" s="145"/>
      <c r="AX136" s="145">
        <v>195000</v>
      </c>
      <c r="AY136" s="223"/>
      <c r="AZ136" s="452"/>
      <c r="BA136" s="145"/>
      <c r="BB136" s="145"/>
      <c r="BC136" s="145">
        <v>610000</v>
      </c>
      <c r="BD136" s="145"/>
      <c r="BE136" s="145"/>
      <c r="BZ136" s="385" t="s">
        <v>260</v>
      </c>
      <c r="CA136" s="385" t="s">
        <v>271</v>
      </c>
      <c r="CB136" s="385" t="s">
        <v>261</v>
      </c>
      <c r="CE136" s="204"/>
    </row>
    <row r="137" s="385" customFormat="1" ht="62" customHeight="1" spans="1:83">
      <c r="A137" s="385">
        <v>95</v>
      </c>
      <c r="C137" s="146">
        <v>44963</v>
      </c>
      <c r="D137" s="472">
        <v>20230000803</v>
      </c>
      <c r="F137" s="456" t="s">
        <v>1973</v>
      </c>
      <c r="G137" s="468" t="s">
        <v>1974</v>
      </c>
      <c r="H137" s="1028" t="s">
        <v>1975</v>
      </c>
      <c r="I137" s="441" t="s">
        <v>1976</v>
      </c>
      <c r="J137" s="385">
        <v>142.14</v>
      </c>
      <c r="K137" s="385">
        <v>142.14</v>
      </c>
      <c r="L137" s="385">
        <v>5166.38</v>
      </c>
      <c r="M137" s="464">
        <v>734350</v>
      </c>
      <c r="N137" s="465"/>
      <c r="O137" s="473">
        <v>673715.6</v>
      </c>
      <c r="P137" s="474" t="s">
        <v>1977</v>
      </c>
      <c r="Q137" s="504">
        <v>45630</v>
      </c>
      <c r="R137" s="145"/>
      <c r="S137" s="445"/>
      <c r="T137" s="453" t="s">
        <v>1978</v>
      </c>
      <c r="U137" s="445" t="s">
        <v>1979</v>
      </c>
      <c r="V137" s="385">
        <v>3350</v>
      </c>
      <c r="W137" s="146" t="s">
        <v>1298</v>
      </c>
      <c r="X137" s="145">
        <v>281000</v>
      </c>
      <c r="Y137" s="146" t="s">
        <v>809</v>
      </c>
      <c r="Z137" s="145">
        <v>450000</v>
      </c>
      <c r="AA137" s="445" t="s">
        <v>994</v>
      </c>
      <c r="AB137" s="145"/>
      <c r="AH137" s="145">
        <f t="shared" si="22"/>
        <v>734350</v>
      </c>
      <c r="AK137" s="390">
        <f t="shared" si="15"/>
        <v>0</v>
      </c>
      <c r="AL137" s="456" t="s">
        <v>1980</v>
      </c>
      <c r="AM137" s="456"/>
      <c r="AN137" s="475"/>
      <c r="AO137" s="475"/>
      <c r="AP137" s="475"/>
      <c r="AQ137" s="395">
        <f>0.4%+0.05%+0.14%</f>
        <v>0.0059</v>
      </c>
      <c r="AR137" s="447">
        <f t="shared" si="24"/>
        <v>734350</v>
      </c>
      <c r="AS137" s="145"/>
      <c r="AT137" s="145">
        <f>100+100</f>
        <v>200</v>
      </c>
      <c r="AU137" s="145"/>
      <c r="AV137" s="145"/>
      <c r="AW137" s="145"/>
      <c r="AX137" s="145">
        <v>284350</v>
      </c>
      <c r="AY137" s="449"/>
      <c r="AZ137" s="450"/>
      <c r="BA137" s="145">
        <v>450000</v>
      </c>
      <c r="BB137" s="145"/>
      <c r="BC137" s="145"/>
      <c r="BD137" s="145"/>
      <c r="BE137" s="145"/>
      <c r="BZ137" s="385" t="s">
        <v>260</v>
      </c>
      <c r="CA137" s="385" t="s">
        <v>271</v>
      </c>
      <c r="CB137" s="385" t="s">
        <v>261</v>
      </c>
      <c r="CE137" s="204"/>
    </row>
    <row r="138" s="385" customFormat="1" ht="47" customHeight="1" spans="1:83">
      <c r="A138" s="385">
        <v>96</v>
      </c>
      <c r="C138" s="146">
        <v>45000</v>
      </c>
      <c r="D138" s="472">
        <v>20230002472</v>
      </c>
      <c r="F138" s="456" t="s">
        <v>1981</v>
      </c>
      <c r="G138" s="468" t="s">
        <v>1982</v>
      </c>
      <c r="H138" s="468"/>
      <c r="I138" s="451" t="s">
        <v>1983</v>
      </c>
      <c r="J138" s="385">
        <v>151.48</v>
      </c>
      <c r="K138" s="385">
        <v>151.48</v>
      </c>
      <c r="L138" s="385">
        <v>5329.57</v>
      </c>
      <c r="M138" s="464">
        <f>-53+802897</f>
        <v>802844</v>
      </c>
      <c r="N138" s="465">
        <v>5329.57</v>
      </c>
      <c r="O138" s="473">
        <v>736554.13</v>
      </c>
      <c r="P138" s="474" t="s">
        <v>1984</v>
      </c>
      <c r="Q138" s="504">
        <v>45631</v>
      </c>
      <c r="R138" s="145"/>
      <c r="S138" s="393"/>
      <c r="T138" s="445" t="s">
        <v>1982</v>
      </c>
      <c r="U138" s="445" t="s">
        <v>1982</v>
      </c>
      <c r="V138" s="145">
        <v>302897</v>
      </c>
      <c r="W138" s="471" t="s">
        <v>808</v>
      </c>
      <c r="X138" s="145">
        <v>500000</v>
      </c>
      <c r="Y138" s="393" t="s">
        <v>1985</v>
      </c>
      <c r="Z138" s="145">
        <v>-53</v>
      </c>
      <c r="AA138" s="146">
        <v>45909</v>
      </c>
      <c r="AB138" s="145"/>
      <c r="AH138" s="145">
        <f t="shared" si="22"/>
        <v>802844</v>
      </c>
      <c r="AK138" s="390">
        <f t="shared" si="15"/>
        <v>0</v>
      </c>
      <c r="AL138" s="456" t="s">
        <v>1986</v>
      </c>
      <c r="AM138" s="456"/>
      <c r="AN138" s="475"/>
      <c r="AO138" s="475"/>
      <c r="AP138" s="475"/>
      <c r="AQ138" s="395">
        <f>0.6%+0.06%+0.14%+0.06%</f>
        <v>0.0086</v>
      </c>
      <c r="AR138" s="447">
        <f t="shared" si="24"/>
        <v>802897</v>
      </c>
      <c r="AS138" s="145">
        <v>100</v>
      </c>
      <c r="AT138" s="145"/>
      <c r="AU138" s="145"/>
      <c r="AV138" s="145"/>
      <c r="AW138" s="145"/>
      <c r="AX138" s="145"/>
      <c r="AY138" s="223">
        <v>302897</v>
      </c>
      <c r="AZ138" s="452"/>
      <c r="BA138" s="145"/>
      <c r="BB138" s="145"/>
      <c r="BC138" s="145">
        <v>500000</v>
      </c>
      <c r="BD138" s="145"/>
      <c r="BE138" s="145"/>
      <c r="BZ138" s="385" t="s">
        <v>260</v>
      </c>
      <c r="CA138" s="385" t="s">
        <v>271</v>
      </c>
      <c r="CB138" s="385" t="s">
        <v>261</v>
      </c>
      <c r="CE138" s="204"/>
    </row>
    <row r="139" s="385" customFormat="1" ht="60" customHeight="1" spans="1:83">
      <c r="A139" s="385">
        <v>97</v>
      </c>
      <c r="C139" s="146">
        <v>45240</v>
      </c>
      <c r="D139" s="472">
        <v>20230009580</v>
      </c>
      <c r="F139" s="456" t="s">
        <v>1987</v>
      </c>
      <c r="G139" s="468" t="s">
        <v>1988</v>
      </c>
      <c r="H139" s="468" t="s">
        <v>1989</v>
      </c>
      <c r="I139" s="441" t="s">
        <v>1990</v>
      </c>
      <c r="J139" s="385">
        <v>142.14</v>
      </c>
      <c r="K139" s="385">
        <v>142.14</v>
      </c>
      <c r="L139" s="385">
        <v>5944.84</v>
      </c>
      <c r="M139" s="464">
        <v>845000</v>
      </c>
      <c r="N139" s="465"/>
      <c r="O139" s="473">
        <v>775229.36</v>
      </c>
      <c r="P139" s="474" t="s">
        <v>1991</v>
      </c>
      <c r="Q139" s="504">
        <v>45631</v>
      </c>
      <c r="R139" s="145"/>
      <c r="S139" s="445"/>
      <c r="T139" s="453" t="s">
        <v>1992</v>
      </c>
      <c r="U139" s="445" t="s">
        <v>1993</v>
      </c>
      <c r="V139" s="145">
        <v>255000</v>
      </c>
      <c r="W139" s="445" t="s">
        <v>1994</v>
      </c>
      <c r="X139" s="145">
        <v>590000</v>
      </c>
      <c r="Y139" s="445" t="s">
        <v>343</v>
      </c>
      <c r="Z139" s="145"/>
      <c r="AA139" s="445"/>
      <c r="AB139" s="145"/>
      <c r="AC139" s="445"/>
      <c r="AH139" s="145">
        <f t="shared" si="22"/>
        <v>845000</v>
      </c>
      <c r="AK139" s="390">
        <f t="shared" si="15"/>
        <v>0</v>
      </c>
      <c r="AL139" s="456" t="s">
        <v>1995</v>
      </c>
      <c r="AM139" s="456"/>
      <c r="AN139" s="475"/>
      <c r="AO139" s="475"/>
      <c r="AP139" s="475"/>
      <c r="AQ139" s="395">
        <f>0.4%+0.02%+0.08%</f>
        <v>0.005</v>
      </c>
      <c r="AR139" s="447">
        <f t="shared" si="24"/>
        <v>845000</v>
      </c>
      <c r="AS139" s="145">
        <v>100</v>
      </c>
      <c r="AT139" s="145">
        <v>100</v>
      </c>
      <c r="AU139" s="145"/>
      <c r="AV139" s="145"/>
      <c r="AW139" s="145"/>
      <c r="AX139" s="145"/>
      <c r="AY139" s="449"/>
      <c r="AZ139" s="450"/>
      <c r="BA139" s="145"/>
      <c r="BB139" s="145"/>
      <c r="BC139" s="145"/>
      <c r="BD139" s="145"/>
      <c r="BE139" s="145">
        <v>255000</v>
      </c>
      <c r="BF139" s="385">
        <v>590000</v>
      </c>
      <c r="BX139" s="385" t="s">
        <v>1996</v>
      </c>
      <c r="BZ139" s="385" t="s">
        <v>260</v>
      </c>
      <c r="CA139" s="385" t="s">
        <v>271</v>
      </c>
      <c r="CB139" s="385" t="s">
        <v>261</v>
      </c>
      <c r="CE139" s="204"/>
    </row>
    <row r="140" s="385" customFormat="1" customHeight="1" spans="1:83">
      <c r="A140" s="385">
        <v>98</v>
      </c>
      <c r="C140" s="146">
        <v>45011</v>
      </c>
      <c r="D140" s="472">
        <v>20230002805</v>
      </c>
      <c r="F140" s="456" t="s">
        <v>1997</v>
      </c>
      <c r="G140" s="468" t="s">
        <v>1998</v>
      </c>
      <c r="H140" s="1028" t="s">
        <v>1999</v>
      </c>
      <c r="I140" s="451" t="s">
        <v>2000</v>
      </c>
      <c r="J140" s="385">
        <v>151.48</v>
      </c>
      <c r="K140" s="385">
        <v>151.48</v>
      </c>
      <c r="L140" s="385">
        <v>5360</v>
      </c>
      <c r="M140" s="464">
        <f>-53+811986</f>
        <v>811933</v>
      </c>
      <c r="N140" s="465"/>
      <c r="O140" s="473">
        <v>744892.66</v>
      </c>
      <c r="P140" s="474" t="s">
        <v>2001</v>
      </c>
      <c r="Q140" s="504">
        <v>45631</v>
      </c>
      <c r="R140" s="145"/>
      <c r="S140" s="393"/>
      <c r="T140" s="468" t="s">
        <v>1998</v>
      </c>
      <c r="U140" s="468" t="s">
        <v>1998</v>
      </c>
      <c r="V140" s="145">
        <v>20000</v>
      </c>
      <c r="W140" s="393" t="s">
        <v>2002</v>
      </c>
      <c r="X140" s="145">
        <v>272986</v>
      </c>
      <c r="Y140" s="146" t="s">
        <v>1596</v>
      </c>
      <c r="Z140" s="145">
        <v>20000</v>
      </c>
      <c r="AA140" s="146" t="s">
        <v>2003</v>
      </c>
      <c r="AB140" s="145">
        <v>499000</v>
      </c>
      <c r="AC140" s="393" t="s">
        <v>2004</v>
      </c>
      <c r="AD140" s="448">
        <v>-53</v>
      </c>
      <c r="AE140" s="146"/>
      <c r="AF140" s="146"/>
      <c r="AG140" s="146"/>
      <c r="AH140" s="145">
        <f t="shared" si="22"/>
        <v>811933</v>
      </c>
      <c r="AK140" s="390">
        <f t="shared" si="15"/>
        <v>0</v>
      </c>
      <c r="AL140" s="456" t="s">
        <v>2005</v>
      </c>
      <c r="AM140" s="456"/>
      <c r="AN140" s="475"/>
      <c r="AO140" s="475"/>
      <c r="AP140" s="475"/>
      <c r="AQ140" s="395">
        <f>0.6%+0.06%+0.14%+0.06%</f>
        <v>0.0086</v>
      </c>
      <c r="AR140" s="447">
        <f t="shared" si="24"/>
        <v>811986</v>
      </c>
      <c r="AS140" s="145"/>
      <c r="AT140" s="145"/>
      <c r="AU140" s="145"/>
      <c r="AV140" s="145"/>
      <c r="AW140" s="145"/>
      <c r="AX140" s="145">
        <v>312986</v>
      </c>
      <c r="AY140" s="449"/>
      <c r="AZ140" s="455"/>
      <c r="BA140" s="145"/>
      <c r="BB140" s="145">
        <v>499000</v>
      </c>
      <c r="BC140" s="145"/>
      <c r="BD140" s="145"/>
      <c r="BE140" s="145"/>
      <c r="BZ140" s="385" t="s">
        <v>260</v>
      </c>
      <c r="CA140" s="385" t="s">
        <v>271</v>
      </c>
      <c r="CB140" s="385" t="s">
        <v>261</v>
      </c>
      <c r="CE140" s="204"/>
    </row>
    <row r="141" s="385" customFormat="1" ht="52" customHeight="1" spans="1:83">
      <c r="A141" s="385">
        <v>99</v>
      </c>
      <c r="C141" s="146">
        <v>44965</v>
      </c>
      <c r="D141" s="472">
        <v>20230001038</v>
      </c>
      <c r="F141" s="501" t="s">
        <v>2006</v>
      </c>
      <c r="G141" s="468" t="s">
        <v>2007</v>
      </c>
      <c r="H141" s="1028" t="s">
        <v>2008</v>
      </c>
      <c r="I141" s="441" t="s">
        <v>2009</v>
      </c>
      <c r="J141" s="385">
        <v>142.14</v>
      </c>
      <c r="K141" s="385">
        <v>142.14</v>
      </c>
      <c r="L141" s="385">
        <v>5261.38</v>
      </c>
      <c r="M141" s="389">
        <v>747853</v>
      </c>
      <c r="N141" s="145"/>
      <c r="O141" s="390">
        <v>686103.67</v>
      </c>
      <c r="P141" s="474" t="s">
        <v>2010</v>
      </c>
      <c r="Q141" s="476">
        <v>45644</v>
      </c>
      <c r="R141" s="145"/>
      <c r="S141" s="445"/>
      <c r="T141" s="453" t="s">
        <v>2011</v>
      </c>
      <c r="U141" s="445" t="s">
        <v>2012</v>
      </c>
      <c r="V141" s="145">
        <v>47853</v>
      </c>
      <c r="W141" s="385" t="s">
        <v>1363</v>
      </c>
      <c r="X141" s="145">
        <v>110000</v>
      </c>
      <c r="Y141" s="445" t="s">
        <v>836</v>
      </c>
      <c r="Z141" s="145">
        <v>590000</v>
      </c>
      <c r="AA141" s="385" t="s">
        <v>324</v>
      </c>
      <c r="AB141" s="145"/>
      <c r="AH141" s="145">
        <f t="shared" si="22"/>
        <v>747853</v>
      </c>
      <c r="AK141" s="390">
        <f t="shared" si="15"/>
        <v>0</v>
      </c>
      <c r="AL141" s="456" t="s">
        <v>2013</v>
      </c>
      <c r="AM141" s="456"/>
      <c r="AN141" s="469"/>
      <c r="AO141" s="469"/>
      <c r="AP141" s="469"/>
      <c r="AQ141" s="395">
        <f>0.4%+0.04%+0.1%+0.04%</f>
        <v>0.0058</v>
      </c>
      <c r="AR141" s="447">
        <f t="shared" si="24"/>
        <v>747853</v>
      </c>
      <c r="AS141" s="145">
        <f>100+100+100+100</f>
        <v>400</v>
      </c>
      <c r="AT141" s="145">
        <f>100+100+100</f>
        <v>300</v>
      </c>
      <c r="AU141" s="145"/>
      <c r="AV141" s="145"/>
      <c r="AW141" s="145"/>
      <c r="AX141" s="145"/>
      <c r="AY141" s="449"/>
      <c r="AZ141" s="450"/>
      <c r="BA141" s="145"/>
      <c r="BB141" s="145">
        <v>157853</v>
      </c>
      <c r="BC141" s="145"/>
      <c r="BD141" s="145"/>
      <c r="BE141" s="145"/>
      <c r="BI141" s="385">
        <v>590000</v>
      </c>
      <c r="BZ141" s="385" t="s">
        <v>260</v>
      </c>
      <c r="CA141" s="385" t="s">
        <v>271</v>
      </c>
      <c r="CB141" s="385" t="s">
        <v>261</v>
      </c>
      <c r="CE141" s="204"/>
    </row>
    <row r="142" s="385" customFormat="1" customHeight="1" spans="1:83">
      <c r="A142" s="385">
        <v>100</v>
      </c>
      <c r="C142" s="146">
        <v>44967</v>
      </c>
      <c r="D142" s="472">
        <v>20230001396</v>
      </c>
      <c r="F142" s="456" t="s">
        <v>2014</v>
      </c>
      <c r="G142" s="468" t="s">
        <v>2015</v>
      </c>
      <c r="H142" s="1028" t="s">
        <v>453</v>
      </c>
      <c r="I142" s="451" t="s">
        <v>2016</v>
      </c>
      <c r="J142" s="385">
        <v>151.48</v>
      </c>
      <c r="K142" s="385">
        <v>151.48</v>
      </c>
      <c r="L142" s="385">
        <v>5175.37</v>
      </c>
      <c r="M142" s="464">
        <f>-52+784017</f>
        <v>783965</v>
      </c>
      <c r="N142" s="465"/>
      <c r="O142" s="473">
        <v>719233.94</v>
      </c>
      <c r="P142" s="474" t="s">
        <v>2017</v>
      </c>
      <c r="Q142" s="476">
        <v>45656</v>
      </c>
      <c r="R142" s="145"/>
      <c r="S142" s="445"/>
      <c r="T142" s="453" t="s">
        <v>2018</v>
      </c>
      <c r="U142" s="445" t="s">
        <v>2019</v>
      </c>
      <c r="V142" s="145">
        <v>384017</v>
      </c>
      <c r="W142" s="146" t="s">
        <v>1228</v>
      </c>
      <c r="X142" s="145">
        <v>400000</v>
      </c>
      <c r="Y142" s="146" t="s">
        <v>1349</v>
      </c>
      <c r="Z142" s="145">
        <v>-52</v>
      </c>
      <c r="AA142" s="146"/>
      <c r="AB142" s="145"/>
      <c r="AH142" s="145">
        <f t="shared" si="22"/>
        <v>783965</v>
      </c>
      <c r="AK142" s="390">
        <f t="shared" si="15"/>
        <v>0</v>
      </c>
      <c r="AL142" s="456" t="s">
        <v>2020</v>
      </c>
      <c r="AM142" s="456"/>
      <c r="AN142" s="475"/>
      <c r="AO142" s="475"/>
      <c r="AP142" s="475"/>
      <c r="AQ142" s="395">
        <f t="shared" ref="AQ142:AQ145" si="25">0.6%+0.04%+0.1%</f>
        <v>0.0074</v>
      </c>
      <c r="AR142" s="447">
        <f t="shared" si="24"/>
        <v>784017</v>
      </c>
      <c r="AS142" s="145"/>
      <c r="AT142" s="145">
        <f>100+100</f>
        <v>200</v>
      </c>
      <c r="AU142" s="145"/>
      <c r="AV142" s="145">
        <v>384017</v>
      </c>
      <c r="AW142" s="145"/>
      <c r="AX142" s="145"/>
      <c r="AY142" s="449">
        <v>400000</v>
      </c>
      <c r="AZ142" s="450"/>
      <c r="BA142" s="145"/>
      <c r="BB142" s="145"/>
      <c r="BC142" s="145"/>
      <c r="BD142" s="145"/>
      <c r="BE142" s="145"/>
      <c r="BZ142" s="385" t="s">
        <v>260</v>
      </c>
      <c r="CA142" s="385" t="s">
        <v>271</v>
      </c>
      <c r="CB142" s="385" t="s">
        <v>261</v>
      </c>
      <c r="CE142" s="204"/>
    </row>
    <row r="143" s="385" customFormat="1" ht="41" customHeight="1" spans="1:83">
      <c r="A143" s="385">
        <v>101</v>
      </c>
      <c r="C143" s="146">
        <v>44966</v>
      </c>
      <c r="D143" s="448">
        <v>20230001256</v>
      </c>
      <c r="F143" s="501" t="s">
        <v>2021</v>
      </c>
      <c r="G143" s="468" t="s">
        <v>2022</v>
      </c>
      <c r="H143" s="1028" t="s">
        <v>2023</v>
      </c>
      <c r="I143" s="441" t="s">
        <v>2024</v>
      </c>
      <c r="J143" s="385">
        <v>142.14</v>
      </c>
      <c r="K143" s="385">
        <v>142.14</v>
      </c>
      <c r="L143" s="385">
        <v>5306.38</v>
      </c>
      <c r="M143" s="464">
        <v>754249</v>
      </c>
      <c r="N143" s="465"/>
      <c r="O143" s="473">
        <v>691971.56</v>
      </c>
      <c r="P143" s="474" t="s">
        <v>2025</v>
      </c>
      <c r="Q143" s="476">
        <v>45656</v>
      </c>
      <c r="R143" s="145"/>
      <c r="S143" s="445"/>
      <c r="T143" s="453" t="s">
        <v>2026</v>
      </c>
      <c r="U143" s="445" t="s">
        <v>2027</v>
      </c>
      <c r="V143" s="145">
        <f>2000-2000</f>
        <v>0</v>
      </c>
      <c r="W143" s="454">
        <v>44766</v>
      </c>
      <c r="X143" s="517">
        <v>154249</v>
      </c>
      <c r="Y143" s="146" t="s">
        <v>1259</v>
      </c>
      <c r="Z143" s="145">
        <v>600000</v>
      </c>
      <c r="AA143" s="146" t="s">
        <v>1282</v>
      </c>
      <c r="AB143" s="145"/>
      <c r="AH143" s="145">
        <f t="shared" si="22"/>
        <v>754249</v>
      </c>
      <c r="AK143" s="390">
        <f t="shared" si="15"/>
        <v>0</v>
      </c>
      <c r="AL143" s="501" t="s">
        <v>2028</v>
      </c>
      <c r="AM143" s="456"/>
      <c r="AN143" s="475"/>
      <c r="AO143" s="475"/>
      <c r="AP143" s="475"/>
      <c r="AQ143" s="395">
        <f t="shared" si="25"/>
        <v>0.0074</v>
      </c>
      <c r="AR143" s="447">
        <f t="shared" si="24"/>
        <v>754249</v>
      </c>
      <c r="AS143" s="145">
        <f>100+100</f>
        <v>200</v>
      </c>
      <c r="AT143" s="145">
        <v>100</v>
      </c>
      <c r="AU143" s="145"/>
      <c r="AV143" s="145">
        <v>154249</v>
      </c>
      <c r="AW143" s="145"/>
      <c r="AX143" s="145"/>
      <c r="AY143" s="449">
        <v>600000</v>
      </c>
      <c r="AZ143" s="450"/>
      <c r="BA143" s="145"/>
      <c r="BB143" s="145"/>
      <c r="BC143" s="145"/>
      <c r="BD143" s="145"/>
      <c r="BE143" s="145"/>
      <c r="BZ143" s="385" t="s">
        <v>260</v>
      </c>
      <c r="CA143" s="385" t="s">
        <v>271</v>
      </c>
      <c r="CB143" s="385" t="s">
        <v>261</v>
      </c>
      <c r="CE143" s="204"/>
    </row>
    <row r="144" s="385" customFormat="1" customHeight="1" spans="1:83">
      <c r="A144" s="385">
        <v>102</v>
      </c>
      <c r="C144" s="146">
        <v>44968</v>
      </c>
      <c r="D144" s="472">
        <v>20230001540</v>
      </c>
      <c r="F144" s="503" t="s">
        <v>2029</v>
      </c>
      <c r="G144" s="448" t="s">
        <v>2030</v>
      </c>
      <c r="H144" s="448"/>
      <c r="I144" s="441" t="s">
        <v>2031</v>
      </c>
      <c r="J144" s="385">
        <v>151.48</v>
      </c>
      <c r="K144" s="385">
        <v>151.48</v>
      </c>
      <c r="L144" s="385">
        <v>5412.09</v>
      </c>
      <c r="M144" s="464">
        <f>-54+819879</f>
        <v>819825</v>
      </c>
      <c r="N144" s="465"/>
      <c r="O144" s="473">
        <v>752133.03</v>
      </c>
      <c r="P144" s="474" t="s">
        <v>2032</v>
      </c>
      <c r="Q144" s="476">
        <v>45656</v>
      </c>
      <c r="R144" s="145"/>
      <c r="S144" s="393"/>
      <c r="T144" s="393" t="s">
        <v>2033</v>
      </c>
      <c r="U144" s="393" t="s">
        <v>2033</v>
      </c>
      <c r="V144" s="145">
        <v>20000</v>
      </c>
      <c r="W144" s="146" t="s">
        <v>1265</v>
      </c>
      <c r="X144" s="145">
        <v>229878</v>
      </c>
      <c r="Y144" s="146" t="s">
        <v>1769</v>
      </c>
      <c r="Z144" s="145">
        <v>370001</v>
      </c>
      <c r="AA144" s="385" t="s">
        <v>1952</v>
      </c>
      <c r="AB144" s="145">
        <v>200000</v>
      </c>
      <c r="AC144" s="385" t="s">
        <v>858</v>
      </c>
      <c r="AD144" s="385">
        <v>-54</v>
      </c>
      <c r="AH144" s="145">
        <f t="shared" si="22"/>
        <v>819825</v>
      </c>
      <c r="AK144" s="390">
        <f t="shared" si="15"/>
        <v>0</v>
      </c>
      <c r="AL144" s="456" t="s">
        <v>2034</v>
      </c>
      <c r="AM144" s="456"/>
      <c r="AN144" s="475"/>
      <c r="AO144" s="475"/>
      <c r="AP144" s="475"/>
      <c r="AQ144" s="395">
        <f>0.4%+0.05%+0.14%</f>
        <v>0.0059</v>
      </c>
      <c r="AR144" s="447">
        <f t="shared" si="24"/>
        <v>819878</v>
      </c>
      <c r="AS144" s="145"/>
      <c r="AT144" s="145"/>
      <c r="AU144" s="145"/>
      <c r="AV144" s="145">
        <v>249878</v>
      </c>
      <c r="AW144" s="145"/>
      <c r="AX144" s="145"/>
      <c r="AY144" s="449"/>
      <c r="AZ144" s="450"/>
      <c r="BA144" s="145">
        <v>570000</v>
      </c>
      <c r="BB144" s="145"/>
      <c r="BC144" s="145"/>
      <c r="BD144" s="145"/>
      <c r="BE144" s="145"/>
      <c r="BZ144" s="385" t="s">
        <v>260</v>
      </c>
      <c r="CA144" s="385" t="s">
        <v>271</v>
      </c>
      <c r="CB144" s="385" t="s">
        <v>261</v>
      </c>
      <c r="CE144" s="204"/>
    </row>
    <row r="145" s="385" customFormat="1" ht="61" customHeight="1" spans="1:88">
      <c r="A145" s="385">
        <v>103</v>
      </c>
      <c r="C145" s="146">
        <v>44967</v>
      </c>
      <c r="D145" s="472">
        <v>20230001409</v>
      </c>
      <c r="F145" s="456" t="s">
        <v>2035</v>
      </c>
      <c r="G145" s="468" t="s">
        <v>2036</v>
      </c>
      <c r="H145" s="1028" t="s">
        <v>763</v>
      </c>
      <c r="I145" s="441" t="s">
        <v>2037</v>
      </c>
      <c r="J145" s="385">
        <v>142.14</v>
      </c>
      <c r="K145" s="385">
        <v>142.14</v>
      </c>
      <c r="L145" s="385">
        <v>5331.38</v>
      </c>
      <c r="M145" s="464">
        <v>757803</v>
      </c>
      <c r="N145" s="465"/>
      <c r="O145" s="473">
        <v>695232.11</v>
      </c>
      <c r="P145" s="474" t="s">
        <v>2038</v>
      </c>
      <c r="Q145" s="476">
        <v>45656</v>
      </c>
      <c r="R145" s="145"/>
      <c r="S145" s="445"/>
      <c r="T145" s="453" t="s">
        <v>2039</v>
      </c>
      <c r="U145" s="445" t="s">
        <v>2040</v>
      </c>
      <c r="V145" s="385">
        <v>757803</v>
      </c>
      <c r="W145" s="385" t="s">
        <v>1228</v>
      </c>
      <c r="Z145" s="145"/>
      <c r="AB145" s="145"/>
      <c r="AH145" s="145">
        <f t="shared" si="22"/>
        <v>757803</v>
      </c>
      <c r="AK145" s="390">
        <f t="shared" si="15"/>
        <v>0</v>
      </c>
      <c r="AL145" s="456" t="s">
        <v>2041</v>
      </c>
      <c r="AM145" s="456"/>
      <c r="AN145" s="475"/>
      <c r="AO145" s="475"/>
      <c r="AP145" s="475"/>
      <c r="AQ145" s="395">
        <f t="shared" si="25"/>
        <v>0.0074</v>
      </c>
      <c r="AR145" s="447">
        <f t="shared" si="24"/>
        <v>757803</v>
      </c>
      <c r="AS145" s="145">
        <f>100</f>
        <v>100</v>
      </c>
      <c r="AT145" s="145">
        <v>100</v>
      </c>
      <c r="AU145" s="145"/>
      <c r="AV145" s="145">
        <v>757803</v>
      </c>
      <c r="AW145" s="145"/>
      <c r="AX145" s="145"/>
      <c r="AY145" s="449"/>
      <c r="AZ145" s="450"/>
      <c r="BA145" s="145"/>
      <c r="BB145" s="145"/>
      <c r="BC145" s="145"/>
      <c r="BD145" s="145"/>
      <c r="BE145" s="145"/>
      <c r="BZ145" s="385" t="s">
        <v>260</v>
      </c>
      <c r="CA145" s="385" t="s">
        <v>271</v>
      </c>
      <c r="CB145" s="385" t="s">
        <v>261</v>
      </c>
      <c r="CE145" s="204"/>
    </row>
    <row r="146" s="385" customFormat="1" customHeight="1" spans="1:88">
      <c r="A146" s="385">
        <v>104</v>
      </c>
      <c r="C146" s="146">
        <v>44982</v>
      </c>
      <c r="D146" s="385">
        <v>20230001886</v>
      </c>
      <c r="F146" s="456" t="s">
        <v>2042</v>
      </c>
      <c r="G146" s="448" t="s">
        <v>2043</v>
      </c>
      <c r="H146" s="1030" t="s">
        <v>2044</v>
      </c>
      <c r="I146" s="451" t="s">
        <v>2045</v>
      </c>
      <c r="J146" s="385">
        <v>151.48</v>
      </c>
      <c r="K146" s="385">
        <v>151.48</v>
      </c>
      <c r="L146" s="385">
        <v>5460</v>
      </c>
      <c r="M146" s="389">
        <f>-55+827135</f>
        <v>827080</v>
      </c>
      <c r="N146" s="145"/>
      <c r="O146" s="390">
        <v>758788.99</v>
      </c>
      <c r="P146" s="1035" t="s">
        <v>2046</v>
      </c>
      <c r="Q146" s="476">
        <v>45656</v>
      </c>
      <c r="R146" s="145"/>
      <c r="S146" s="393"/>
      <c r="T146" s="448" t="s">
        <v>2043</v>
      </c>
      <c r="U146" s="448" t="s">
        <v>2043</v>
      </c>
      <c r="V146" s="145">
        <v>20000</v>
      </c>
      <c r="W146" s="393" t="s">
        <v>2002</v>
      </c>
      <c r="X146" s="145">
        <v>268135</v>
      </c>
      <c r="Y146" s="471" t="s">
        <v>1643</v>
      </c>
      <c r="Z146" s="145">
        <v>40000</v>
      </c>
      <c r="AA146" s="385" t="s">
        <v>2047</v>
      </c>
      <c r="AB146" s="145">
        <v>499000</v>
      </c>
      <c r="AC146" s="393" t="s">
        <v>810</v>
      </c>
      <c r="AD146" s="385">
        <v>-55</v>
      </c>
      <c r="AE146" s="146">
        <v>45909</v>
      </c>
      <c r="AH146" s="145">
        <f t="shared" si="22"/>
        <v>827080</v>
      </c>
      <c r="AK146" s="390">
        <f t="shared" si="15"/>
        <v>0</v>
      </c>
      <c r="AL146" s="456" t="s">
        <v>2048</v>
      </c>
      <c r="AM146" s="456"/>
      <c r="AN146" s="469"/>
      <c r="AO146" s="469"/>
      <c r="AP146" s="469"/>
      <c r="AQ146" s="395">
        <f>0.6%+0.06%+0.14%</f>
        <v>0.008</v>
      </c>
      <c r="AR146" s="447">
        <f t="shared" si="24"/>
        <v>827135</v>
      </c>
      <c r="AS146" s="145"/>
      <c r="AT146" s="145"/>
      <c r="AU146" s="145"/>
      <c r="AV146" s="145"/>
      <c r="AW146" s="145"/>
      <c r="AX146" s="145"/>
      <c r="AY146" s="449"/>
      <c r="AZ146" s="460">
        <v>328135</v>
      </c>
      <c r="BA146" s="145">
        <v>499000</v>
      </c>
      <c r="BB146" s="145"/>
      <c r="BC146" s="145"/>
      <c r="BD146" s="145"/>
      <c r="BE146" s="145"/>
      <c r="BZ146" s="385" t="s">
        <v>260</v>
      </c>
      <c r="CA146" s="385" t="s">
        <v>271</v>
      </c>
      <c r="CB146" s="385" t="s">
        <v>261</v>
      </c>
      <c r="CE146" s="204"/>
    </row>
    <row r="147" s="385" customFormat="1" customHeight="1" spans="1:88">
      <c r="A147" s="385">
        <v>105</v>
      </c>
      <c r="C147" s="146">
        <v>45000</v>
      </c>
      <c r="D147" s="472">
        <v>20230002447</v>
      </c>
      <c r="F147" s="501" t="s">
        <v>2049</v>
      </c>
      <c r="G147" s="468" t="s">
        <v>2050</v>
      </c>
      <c r="H147" s="1028" t="s">
        <v>2051</v>
      </c>
      <c r="I147" s="441" t="s">
        <v>2052</v>
      </c>
      <c r="J147" s="385">
        <v>142.14</v>
      </c>
      <c r="K147" s="385">
        <v>142.14</v>
      </c>
      <c r="L147" s="385">
        <v>5376.38</v>
      </c>
      <c r="M147" s="464">
        <v>764199</v>
      </c>
      <c r="N147" s="465"/>
      <c r="O147" s="473">
        <v>701100</v>
      </c>
      <c r="P147" s="474" t="s">
        <v>2053</v>
      </c>
      <c r="Q147" s="476">
        <v>45656</v>
      </c>
      <c r="R147" s="145"/>
      <c r="S147" s="445"/>
      <c r="T147" s="453" t="s">
        <v>2054</v>
      </c>
      <c r="U147" s="445" t="s">
        <v>2055</v>
      </c>
      <c r="V147" s="145">
        <f>4000+20000</f>
        <v>24000</v>
      </c>
      <c r="W147" s="515" t="s">
        <v>1280</v>
      </c>
      <c r="X147" s="145">
        <v>480199</v>
      </c>
      <c r="Y147" s="471" t="s">
        <v>808</v>
      </c>
      <c r="Z147" s="145">
        <v>260000</v>
      </c>
      <c r="AA147" s="385" t="s">
        <v>808</v>
      </c>
      <c r="AB147" s="145"/>
      <c r="AH147" s="145">
        <f t="shared" si="22"/>
        <v>764199</v>
      </c>
      <c r="AK147" s="390">
        <f t="shared" si="15"/>
        <v>0</v>
      </c>
      <c r="AL147" s="501" t="s">
        <v>2056</v>
      </c>
      <c r="AM147" s="456"/>
      <c r="AN147" s="475"/>
      <c r="AO147" s="475"/>
      <c r="AP147" s="475"/>
      <c r="AQ147" s="395">
        <f>0.4%+0.04%+0.1%</f>
        <v>0.0054</v>
      </c>
      <c r="AR147" s="447">
        <f t="shared" si="24"/>
        <v>764199</v>
      </c>
      <c r="AS147" s="145">
        <f>100+100</f>
        <v>200</v>
      </c>
      <c r="AT147" s="145"/>
      <c r="AU147" s="145"/>
      <c r="AV147" s="145"/>
      <c r="AW147" s="145">
        <v>764199</v>
      </c>
      <c r="AX147" s="145"/>
      <c r="AY147" s="449"/>
      <c r="AZ147" s="450"/>
      <c r="BA147" s="145"/>
      <c r="BB147" s="145"/>
      <c r="BC147" s="145"/>
      <c r="BD147" s="145"/>
      <c r="BE147" s="145"/>
      <c r="BZ147" s="385" t="s">
        <v>260</v>
      </c>
      <c r="CA147" s="385" t="s">
        <v>271</v>
      </c>
      <c r="CB147" s="385" t="s">
        <v>261</v>
      </c>
      <c r="CE147" s="204"/>
    </row>
    <row r="148" s="385" customFormat="1" customHeight="1" spans="1:88">
      <c r="A148" s="385">
        <v>106</v>
      </c>
      <c r="C148" s="146">
        <v>44982</v>
      </c>
      <c r="D148" s="448">
        <v>20230001880</v>
      </c>
      <c r="F148" s="456" t="s">
        <v>2057</v>
      </c>
      <c r="G148" s="468" t="s">
        <v>2058</v>
      </c>
      <c r="H148" s="468"/>
      <c r="I148" s="451" t="s">
        <v>2059</v>
      </c>
      <c r="J148" s="385">
        <v>151.48</v>
      </c>
      <c r="K148" s="385">
        <v>151.48</v>
      </c>
      <c r="L148" s="385">
        <v>5550</v>
      </c>
      <c r="M148" s="464">
        <f>-56+840770</f>
        <v>840714</v>
      </c>
      <c r="N148" s="465"/>
      <c r="O148" s="473">
        <v>771297.25</v>
      </c>
      <c r="P148" s="474" t="s">
        <v>2060</v>
      </c>
      <c r="Q148" s="476">
        <v>45656</v>
      </c>
      <c r="R148" s="145"/>
      <c r="S148" s="393"/>
      <c r="T148" s="445" t="s">
        <v>2058</v>
      </c>
      <c r="U148" s="445" t="s">
        <v>2058</v>
      </c>
      <c r="V148" s="145">
        <v>20000</v>
      </c>
      <c r="W148" s="471" t="s">
        <v>1490</v>
      </c>
      <c r="X148" s="385">
        <v>420770</v>
      </c>
      <c r="Y148" s="385" t="s">
        <v>1315</v>
      </c>
      <c r="Z148" s="145">
        <v>400000</v>
      </c>
      <c r="AA148" s="385" t="s">
        <v>1753</v>
      </c>
      <c r="AB148" s="145">
        <v>-56</v>
      </c>
      <c r="AH148" s="145">
        <f t="shared" si="22"/>
        <v>840714</v>
      </c>
      <c r="AK148" s="390">
        <f t="shared" si="15"/>
        <v>0</v>
      </c>
      <c r="AL148" s="456" t="s">
        <v>2061</v>
      </c>
      <c r="AM148" s="456"/>
      <c r="AN148" s="475"/>
      <c r="AO148" s="475"/>
      <c r="AP148" s="475"/>
      <c r="AQ148" s="395">
        <f>0.6%+0.06%+0.14%</f>
        <v>0.008</v>
      </c>
      <c r="AR148" s="447">
        <f t="shared" si="24"/>
        <v>840770</v>
      </c>
      <c r="AS148" s="145"/>
      <c r="AT148" s="145">
        <v>100</v>
      </c>
      <c r="AU148" s="145"/>
      <c r="AV148" s="145">
        <v>440770</v>
      </c>
      <c r="AW148" s="145">
        <v>400000</v>
      </c>
      <c r="AX148" s="145"/>
      <c r="AY148" s="449"/>
      <c r="AZ148" s="455"/>
      <c r="BA148" s="145"/>
      <c r="BB148" s="145"/>
      <c r="BC148" s="145"/>
      <c r="BD148" s="145"/>
      <c r="BE148" s="145"/>
      <c r="BZ148" s="385" t="s">
        <v>260</v>
      </c>
      <c r="CA148" s="385" t="s">
        <v>271</v>
      </c>
      <c r="CB148" s="385" t="s">
        <v>261</v>
      </c>
      <c r="CE148" s="204"/>
    </row>
    <row r="149" s="385" customFormat="1" customHeight="1" spans="1:88">
      <c r="A149" s="385">
        <v>107</v>
      </c>
      <c r="C149" s="146">
        <v>44962</v>
      </c>
      <c r="D149" s="385">
        <v>20230000675</v>
      </c>
      <c r="F149" s="456" t="s">
        <v>290</v>
      </c>
      <c r="G149" s="468" t="s">
        <v>291</v>
      </c>
      <c r="H149" s="1028" t="s">
        <v>2062</v>
      </c>
      <c r="I149" s="441" t="s">
        <v>2063</v>
      </c>
      <c r="J149" s="385">
        <v>142.14</v>
      </c>
      <c r="K149" s="385">
        <v>142.14</v>
      </c>
      <c r="L149" s="385">
        <v>5396.38</v>
      </c>
      <c r="M149" s="389">
        <v>767042</v>
      </c>
      <c r="N149" s="145"/>
      <c r="O149" s="390">
        <v>703708.26</v>
      </c>
      <c r="P149" s="1035" t="s">
        <v>2064</v>
      </c>
      <c r="Q149" s="476">
        <v>45656</v>
      </c>
      <c r="R149" s="145"/>
      <c r="S149" s="393"/>
      <c r="T149" s="394" t="s">
        <v>2065</v>
      </c>
      <c r="U149" s="393" t="s">
        <v>2066</v>
      </c>
      <c r="V149" s="145">
        <v>115042</v>
      </c>
      <c r="W149" s="385" t="s">
        <v>1265</v>
      </c>
      <c r="X149" s="145">
        <v>129000</v>
      </c>
      <c r="Y149" s="471" t="s">
        <v>2067</v>
      </c>
      <c r="Z149" s="145">
        <v>610000</v>
      </c>
      <c r="AA149" s="385" t="s">
        <v>2068</v>
      </c>
      <c r="AB149" s="145">
        <v>-87000</v>
      </c>
      <c r="AC149" s="393" t="s">
        <v>1624</v>
      </c>
      <c r="AH149" s="145">
        <f t="shared" si="22"/>
        <v>767042</v>
      </c>
      <c r="AK149" s="390">
        <f t="shared" si="15"/>
        <v>0</v>
      </c>
      <c r="AL149" s="456" t="s">
        <v>2069</v>
      </c>
      <c r="AM149" s="456"/>
      <c r="AN149" s="469"/>
      <c r="AO149" s="469"/>
      <c r="AP149" s="469"/>
      <c r="AQ149" s="395">
        <f>0.6%+0.04%+0.1%</f>
        <v>0.0074</v>
      </c>
      <c r="AR149" s="447">
        <f t="shared" si="24"/>
        <v>767042</v>
      </c>
      <c r="AS149" s="145">
        <v>100</v>
      </c>
      <c r="AT149" s="145"/>
      <c r="AU149" s="145"/>
      <c r="AV149" s="145"/>
      <c r="AW149" s="145"/>
      <c r="AX149" s="145"/>
      <c r="AY149" s="449"/>
      <c r="AZ149" s="457">
        <v>157042</v>
      </c>
      <c r="BA149" s="145">
        <v>610000</v>
      </c>
      <c r="BB149" s="145"/>
      <c r="BC149" s="145"/>
      <c r="BD149" s="145"/>
      <c r="BE149" s="145"/>
      <c r="BZ149" s="385" t="s">
        <v>260</v>
      </c>
      <c r="CA149" s="385" t="s">
        <v>271</v>
      </c>
      <c r="CB149" s="385" t="s">
        <v>261</v>
      </c>
      <c r="CE149" s="204"/>
    </row>
    <row r="150" s="385" customFormat="1" customHeight="1" spans="1:88">
      <c r="A150" s="385">
        <v>108</v>
      </c>
      <c r="C150" s="146">
        <v>45084</v>
      </c>
      <c r="D150" s="472">
        <v>20230004799</v>
      </c>
      <c r="F150" s="1026" t="s">
        <v>2070</v>
      </c>
      <c r="G150" s="385" t="s">
        <v>2071</v>
      </c>
      <c r="H150" s="1026" t="s">
        <v>2072</v>
      </c>
      <c r="I150" s="451" t="s">
        <v>2073</v>
      </c>
      <c r="J150" s="385">
        <v>151.48</v>
      </c>
      <c r="K150" s="385">
        <v>151.48</v>
      </c>
      <c r="L150" s="385">
        <v>5617.27</v>
      </c>
      <c r="M150" s="464">
        <f>-56+850960</f>
        <v>850904</v>
      </c>
      <c r="N150" s="465">
        <v>5567.27</v>
      </c>
      <c r="O150" s="473">
        <v>780645.87</v>
      </c>
      <c r="P150" s="474" t="s">
        <v>2074</v>
      </c>
      <c r="Q150" s="476">
        <v>45656</v>
      </c>
      <c r="R150" s="145"/>
      <c r="S150" s="393"/>
      <c r="T150" s="385" t="s">
        <v>2071</v>
      </c>
      <c r="U150" s="385" t="s">
        <v>2075</v>
      </c>
      <c r="V150" s="145">
        <v>20000</v>
      </c>
      <c r="W150" s="146" t="s">
        <v>1622</v>
      </c>
      <c r="X150" s="145">
        <v>81960</v>
      </c>
      <c r="Y150" s="146" t="s">
        <v>2076</v>
      </c>
      <c r="Z150" s="145">
        <v>250000</v>
      </c>
      <c r="AA150" s="385" t="s">
        <v>1316</v>
      </c>
      <c r="AB150" s="145">
        <v>499000</v>
      </c>
      <c r="AC150" s="393" t="s">
        <v>938</v>
      </c>
      <c r="AD150" s="385">
        <v>-56</v>
      </c>
      <c r="AH150" s="145">
        <f t="shared" si="22"/>
        <v>850904</v>
      </c>
      <c r="AK150" s="390">
        <f t="shared" si="15"/>
        <v>0</v>
      </c>
      <c r="AL150" s="456" t="s">
        <v>2077</v>
      </c>
      <c r="AM150" s="456"/>
      <c r="AN150" s="475"/>
      <c r="AO150" s="475"/>
      <c r="AP150" s="475"/>
      <c r="AQ150" s="395">
        <f>0.6%+0.06%+0.14%</f>
        <v>0.008</v>
      </c>
      <c r="AR150" s="447">
        <f t="shared" si="24"/>
        <v>850960</v>
      </c>
      <c r="AS150" s="145"/>
      <c r="AT150" s="145"/>
      <c r="AU150" s="145"/>
      <c r="AV150" s="145"/>
      <c r="AW150" s="145"/>
      <c r="AX150" s="145"/>
      <c r="AY150" s="449"/>
      <c r="AZ150" s="457">
        <v>351960</v>
      </c>
      <c r="BA150" s="145">
        <v>499000</v>
      </c>
      <c r="BB150" s="145"/>
      <c r="BC150" s="145"/>
      <c r="BD150" s="145"/>
      <c r="BE150" s="145"/>
      <c r="BZ150" s="385" t="s">
        <v>260</v>
      </c>
      <c r="CA150" s="385" t="s">
        <v>271</v>
      </c>
      <c r="CB150" s="385" t="s">
        <v>261</v>
      </c>
      <c r="CE150" s="204"/>
    </row>
    <row r="151" s="385" customFormat="1" customHeight="1" spans="1:88">
      <c r="A151" s="385">
        <v>109</v>
      </c>
      <c r="C151" s="146">
        <v>44964</v>
      </c>
      <c r="D151" s="472">
        <v>20230000863</v>
      </c>
      <c r="F151" s="503" t="s">
        <v>2078</v>
      </c>
      <c r="G151" s="468" t="s">
        <v>2079</v>
      </c>
      <c r="H151" s="1028" t="s">
        <v>2080</v>
      </c>
      <c r="I151" s="441" t="s">
        <v>2081</v>
      </c>
      <c r="J151" s="385">
        <v>142.14</v>
      </c>
      <c r="K151" s="385">
        <v>142.14</v>
      </c>
      <c r="L151" s="385">
        <v>6246.42</v>
      </c>
      <c r="M151" s="464">
        <v>887866</v>
      </c>
      <c r="N151" s="465"/>
      <c r="O151" s="473">
        <v>814555.96</v>
      </c>
      <c r="P151" s="474" t="s">
        <v>2082</v>
      </c>
      <c r="Q151" s="476">
        <v>45657</v>
      </c>
      <c r="R151" s="145"/>
      <c r="S151" s="445"/>
      <c r="T151" s="453" t="s">
        <v>2083</v>
      </c>
      <c r="U151" s="445" t="s">
        <v>2084</v>
      </c>
      <c r="V151" s="145">
        <v>167866</v>
      </c>
      <c r="W151" s="471" t="s">
        <v>1324</v>
      </c>
      <c r="X151" s="145">
        <v>270000</v>
      </c>
      <c r="Y151" s="471" t="s">
        <v>1455</v>
      </c>
      <c r="Z151" s="145">
        <v>450000</v>
      </c>
      <c r="AA151" s="445" t="s">
        <v>1691</v>
      </c>
      <c r="AB151" s="145"/>
      <c r="AH151" s="145">
        <f t="shared" si="22"/>
        <v>887866</v>
      </c>
      <c r="AK151" s="390">
        <f t="shared" si="15"/>
        <v>0</v>
      </c>
      <c r="AL151" s="456" t="s">
        <v>2085</v>
      </c>
      <c r="AM151" s="456"/>
      <c r="AN151" s="475"/>
      <c r="AO151" s="475"/>
      <c r="AP151" s="475"/>
      <c r="AQ151" s="395">
        <f>0.4%+0.04%+0.1%</f>
        <v>0.0054</v>
      </c>
      <c r="AR151" s="447">
        <f t="shared" si="24"/>
        <v>887866</v>
      </c>
      <c r="AS151" s="145">
        <f>100</f>
        <v>100</v>
      </c>
      <c r="AT151" s="145">
        <v>100</v>
      </c>
      <c r="AU151" s="145"/>
      <c r="AV151" s="145"/>
      <c r="AW151" s="145">
        <v>437866</v>
      </c>
      <c r="AX151" s="145"/>
      <c r="AY151" s="449"/>
      <c r="AZ151" s="450"/>
      <c r="BA151" s="145">
        <v>450000</v>
      </c>
      <c r="BB151" s="145"/>
      <c r="BC151" s="145"/>
      <c r="BD151" s="145"/>
      <c r="BE151" s="145"/>
      <c r="BZ151" s="385" t="s">
        <v>260</v>
      </c>
      <c r="CA151" s="385" t="s">
        <v>271</v>
      </c>
      <c r="CB151" s="385" t="s">
        <v>261</v>
      </c>
      <c r="CE151" s="204"/>
    </row>
    <row r="152" s="385" customFormat="1" customHeight="1" spans="1:88">
      <c r="A152" s="385">
        <v>110</v>
      </c>
      <c r="C152" s="146">
        <v>45065</v>
      </c>
      <c r="D152" s="385">
        <v>20230004274</v>
      </c>
      <c r="F152" s="456" t="s">
        <v>2086</v>
      </c>
      <c r="G152" s="468" t="s">
        <v>2087</v>
      </c>
      <c r="H152" s="1030" t="s">
        <v>2088</v>
      </c>
      <c r="I152" s="451" t="s">
        <v>2089</v>
      </c>
      <c r="J152" s="385">
        <v>151.48</v>
      </c>
      <c r="K152" s="385">
        <v>151.48</v>
      </c>
      <c r="L152" s="385">
        <v>6230</v>
      </c>
      <c r="M152" s="389">
        <f>-62+943783</f>
        <v>943721</v>
      </c>
      <c r="N152" s="145">
        <v>6168.42</v>
      </c>
      <c r="O152" s="390">
        <v>865799.08</v>
      </c>
      <c r="P152" s="443" t="s">
        <v>2090</v>
      </c>
      <c r="Q152" s="476">
        <v>45656</v>
      </c>
      <c r="R152" s="145"/>
      <c r="S152" s="393"/>
      <c r="T152" s="448" t="s">
        <v>2091</v>
      </c>
      <c r="U152" s="448" t="s">
        <v>2091</v>
      </c>
      <c r="V152" s="145">
        <v>20000</v>
      </c>
      <c r="W152" s="146" t="s">
        <v>2092</v>
      </c>
      <c r="X152" s="145">
        <v>93783</v>
      </c>
      <c r="Y152" s="471" t="s">
        <v>2093</v>
      </c>
      <c r="Z152" s="145">
        <v>80000</v>
      </c>
      <c r="AA152" s="471" t="s">
        <v>1236</v>
      </c>
      <c r="AB152" s="145">
        <v>33000</v>
      </c>
      <c r="AC152" s="146" t="s">
        <v>1236</v>
      </c>
      <c r="AD152" s="145">
        <v>717000</v>
      </c>
      <c r="AE152" s="393" t="s">
        <v>2004</v>
      </c>
      <c r="AF152" s="448">
        <v>-62</v>
      </c>
      <c r="AG152" s="146"/>
      <c r="AH152" s="145">
        <f t="shared" si="22"/>
        <v>943721</v>
      </c>
      <c r="AK152" s="390">
        <f t="shared" si="15"/>
        <v>0</v>
      </c>
      <c r="AL152" s="456" t="s">
        <v>2094</v>
      </c>
      <c r="AM152" s="456"/>
      <c r="AN152" s="469"/>
      <c r="AO152" s="469"/>
      <c r="AP152" s="469"/>
      <c r="AQ152" s="395">
        <f>0.6%+0.05%+0.14%+0.06%</f>
        <v>0.0085</v>
      </c>
      <c r="AR152" s="447">
        <f t="shared" si="24"/>
        <v>943783</v>
      </c>
      <c r="AS152" s="145"/>
      <c r="AT152" s="145"/>
      <c r="AU152" s="145"/>
      <c r="AV152" s="145"/>
      <c r="AW152" s="145"/>
      <c r="AX152" s="145"/>
      <c r="AY152" s="449"/>
      <c r="AZ152" s="457">
        <v>226783</v>
      </c>
      <c r="BA152" s="145"/>
      <c r="BB152" s="145">
        <v>717000</v>
      </c>
      <c r="BC152" s="145"/>
      <c r="BD152" s="145"/>
      <c r="BE152" s="145"/>
      <c r="BZ152" s="385" t="s">
        <v>260</v>
      </c>
      <c r="CA152" s="385" t="s">
        <v>271</v>
      </c>
      <c r="CB152" s="385" t="s">
        <v>261</v>
      </c>
      <c r="CE152" s="204"/>
    </row>
    <row r="153" s="204" customFormat="1" customHeight="1" spans="1:88">
      <c r="F153" s="479"/>
      <c r="G153" s="480"/>
      <c r="H153" s="480"/>
      <c r="I153" s="491" t="s">
        <v>2095</v>
      </c>
      <c r="J153" s="204">
        <v>22.24</v>
      </c>
      <c r="M153" s="430"/>
      <c r="N153" s="431"/>
      <c r="O153" s="432"/>
      <c r="P153" s="518"/>
      <c r="Q153" s="474"/>
      <c r="R153" s="431"/>
      <c r="S153" s="434"/>
      <c r="T153" s="434"/>
      <c r="U153" s="434"/>
      <c r="V153" s="431"/>
      <c r="W153" s="484"/>
      <c r="X153" s="431"/>
      <c r="Y153" s="435"/>
      <c r="Z153" s="431"/>
      <c r="AA153" s="435"/>
      <c r="AB153" s="431"/>
      <c r="AC153" s="484"/>
      <c r="AD153" s="484"/>
      <c r="AE153" s="484"/>
      <c r="AF153" s="484"/>
      <c r="AG153" s="484"/>
      <c r="AH153" s="431">
        <f t="shared" si="22"/>
        <v>0</v>
      </c>
      <c r="AK153" s="432">
        <f t="shared" ref="AK153:AK177" si="26">M153-AH153</f>
        <v>0</v>
      </c>
      <c r="AL153" s="479"/>
      <c r="AM153" s="479"/>
      <c r="AN153" s="519"/>
      <c r="AO153" s="519"/>
      <c r="AP153" s="519"/>
      <c r="AQ153" s="489"/>
      <c r="AR153" s="438">
        <f t="shared" si="24"/>
        <v>0</v>
      </c>
      <c r="AS153" s="431"/>
      <c r="AT153" s="431"/>
      <c r="AU153" s="431"/>
      <c r="AV153" s="431"/>
      <c r="AW153" s="431"/>
      <c r="AX153" s="431"/>
      <c r="AY153" s="242"/>
      <c r="AZ153" s="486"/>
      <c r="BA153" s="431"/>
      <c r="BB153" s="431"/>
      <c r="BC153" s="431"/>
      <c r="BD153" s="431"/>
      <c r="BE153" s="431"/>
      <c r="CJ153" s="104"/>
    </row>
    <row r="154" s="204" customFormat="1" customHeight="1" spans="1:88">
      <c r="F154" s="479"/>
      <c r="G154" s="480"/>
      <c r="H154" s="480"/>
      <c r="I154" s="491" t="s">
        <v>2096</v>
      </c>
      <c r="J154" s="204">
        <v>19.83</v>
      </c>
      <c r="M154" s="430"/>
      <c r="N154" s="431"/>
      <c r="O154" s="432"/>
      <c r="P154" s="518"/>
      <c r="Q154" s="520"/>
      <c r="R154" s="431"/>
      <c r="S154" s="434"/>
      <c r="T154" s="434"/>
      <c r="U154" s="434"/>
      <c r="V154" s="431"/>
      <c r="W154" s="484"/>
      <c r="X154" s="431"/>
      <c r="Y154" s="435"/>
      <c r="Z154" s="431"/>
      <c r="AA154" s="435"/>
      <c r="AB154" s="431"/>
      <c r="AC154" s="484"/>
      <c r="AD154" s="484"/>
      <c r="AE154" s="484"/>
      <c r="AF154" s="484"/>
      <c r="AG154" s="484"/>
      <c r="AH154" s="431">
        <f t="shared" si="22"/>
        <v>0</v>
      </c>
      <c r="AK154" s="432">
        <f t="shared" si="26"/>
        <v>0</v>
      </c>
      <c r="AL154" s="479"/>
      <c r="AM154" s="479"/>
      <c r="AN154" s="519"/>
      <c r="AO154" s="519"/>
      <c r="AP154" s="519"/>
      <c r="AQ154" s="489"/>
      <c r="AR154" s="438">
        <f t="shared" si="24"/>
        <v>0</v>
      </c>
      <c r="AS154" s="431"/>
      <c r="AT154" s="431"/>
      <c r="AU154" s="431"/>
      <c r="AV154" s="431"/>
      <c r="AW154" s="431"/>
      <c r="AX154" s="431"/>
      <c r="AY154" s="242"/>
      <c r="AZ154" s="486"/>
      <c r="BA154" s="431"/>
      <c r="BB154" s="431"/>
      <c r="BC154" s="431"/>
      <c r="BD154" s="431"/>
      <c r="BE154" s="431"/>
      <c r="CJ154" s="104"/>
    </row>
    <row r="155" s="204" customFormat="1" customHeight="1" spans="1:88">
      <c r="F155" s="479"/>
      <c r="G155" s="480"/>
      <c r="H155" s="480"/>
      <c r="I155" s="491" t="s">
        <v>2097</v>
      </c>
      <c r="J155" s="204">
        <v>4.39</v>
      </c>
      <c r="M155" s="430"/>
      <c r="N155" s="431"/>
      <c r="O155" s="432"/>
      <c r="P155" s="518"/>
      <c r="Q155" s="520"/>
      <c r="R155" s="431"/>
      <c r="S155" s="434"/>
      <c r="T155" s="434"/>
      <c r="U155" s="434"/>
      <c r="V155" s="431"/>
      <c r="W155" s="484"/>
      <c r="X155" s="431"/>
      <c r="Y155" s="435"/>
      <c r="Z155" s="431"/>
      <c r="AA155" s="435"/>
      <c r="AB155" s="431"/>
      <c r="AC155" s="484"/>
      <c r="AD155" s="484"/>
      <c r="AE155" s="484"/>
      <c r="AF155" s="484"/>
      <c r="AG155" s="484"/>
      <c r="AH155" s="431">
        <f t="shared" si="22"/>
        <v>0</v>
      </c>
      <c r="AK155" s="432">
        <f t="shared" si="26"/>
        <v>0</v>
      </c>
      <c r="AL155" s="479"/>
      <c r="AM155" s="479"/>
      <c r="AN155" s="519"/>
      <c r="AO155" s="519"/>
      <c r="AP155" s="519"/>
      <c r="AQ155" s="489"/>
      <c r="AR155" s="438">
        <f t="shared" si="24"/>
        <v>0</v>
      </c>
      <c r="AS155" s="431"/>
      <c r="AT155" s="431"/>
      <c r="AU155" s="431"/>
      <c r="AV155" s="431"/>
      <c r="AW155" s="431"/>
      <c r="AX155" s="431"/>
      <c r="AY155" s="242"/>
      <c r="AZ155" s="486"/>
      <c r="BA155" s="431"/>
      <c r="BB155" s="431"/>
      <c r="BC155" s="431"/>
      <c r="BD155" s="431"/>
      <c r="BE155" s="431"/>
      <c r="CJ155" s="104"/>
    </row>
    <row r="156" s="204" customFormat="1" customHeight="1" spans="1:88">
      <c r="F156" s="479"/>
      <c r="G156" s="480"/>
      <c r="H156" s="480" t="s">
        <v>2098</v>
      </c>
      <c r="I156" s="491" t="s">
        <v>2099</v>
      </c>
      <c r="J156" s="204">
        <v>14.85</v>
      </c>
      <c r="M156" s="430"/>
      <c r="N156" s="431">
        <v>33880</v>
      </c>
      <c r="O156" s="432"/>
      <c r="P156" s="518"/>
      <c r="Q156" s="520"/>
      <c r="R156" s="431"/>
      <c r="S156" s="434"/>
      <c r="T156" s="434"/>
      <c r="U156" s="434"/>
      <c r="V156" s="431"/>
      <c r="W156" s="484"/>
      <c r="X156" s="431"/>
      <c r="Y156" s="435"/>
      <c r="Z156" s="431"/>
      <c r="AA156" s="435"/>
      <c r="AB156" s="431"/>
      <c r="AC156" s="484"/>
      <c r="AD156" s="484"/>
      <c r="AE156" s="484"/>
      <c r="AF156" s="484"/>
      <c r="AG156" s="484"/>
      <c r="AH156" s="431">
        <f t="shared" si="22"/>
        <v>0</v>
      </c>
      <c r="AK156" s="432">
        <f t="shared" si="26"/>
        <v>0</v>
      </c>
      <c r="AL156" s="479"/>
      <c r="AM156" s="479"/>
      <c r="AN156" s="519"/>
      <c r="AO156" s="519"/>
      <c r="AP156" s="519"/>
      <c r="AQ156" s="489"/>
      <c r="AR156" s="438">
        <f t="shared" si="24"/>
        <v>0</v>
      </c>
      <c r="AS156" s="431"/>
      <c r="AT156" s="431"/>
      <c r="AU156" s="431"/>
      <c r="AV156" s="431"/>
      <c r="AW156" s="431"/>
      <c r="AX156" s="431"/>
      <c r="AY156" s="242"/>
      <c r="AZ156" s="486"/>
      <c r="BA156" s="431"/>
      <c r="BB156" s="431"/>
      <c r="BC156" s="431"/>
      <c r="BD156" s="431"/>
      <c r="BE156" s="431"/>
      <c r="CJ156" s="104"/>
    </row>
    <row r="157" s="204" customFormat="1" customHeight="1" spans="1:88">
      <c r="F157" s="479"/>
      <c r="G157" s="480" t="s">
        <v>2100</v>
      </c>
      <c r="H157" s="480"/>
      <c r="I157" s="491" t="s">
        <v>2101</v>
      </c>
      <c r="J157" s="204">
        <v>14.5</v>
      </c>
      <c r="L157" s="204">
        <v>2281.38</v>
      </c>
      <c r="M157" s="430">
        <v>33080</v>
      </c>
      <c r="N157" s="431"/>
      <c r="O157" s="432"/>
      <c r="P157" s="518"/>
      <c r="Q157" s="520"/>
      <c r="R157" s="431"/>
      <c r="S157" s="434"/>
      <c r="T157" s="434"/>
      <c r="U157" s="434"/>
      <c r="V157" s="431">
        <v>2000</v>
      </c>
      <c r="W157" s="434">
        <v>45540</v>
      </c>
      <c r="X157" s="431">
        <v>31080</v>
      </c>
      <c r="Y157" s="435">
        <v>45542</v>
      </c>
      <c r="Z157" s="431"/>
      <c r="AA157" s="435"/>
      <c r="AB157" s="431"/>
      <c r="AC157" s="484"/>
      <c r="AD157" s="484"/>
      <c r="AE157" s="484"/>
      <c r="AF157" s="484"/>
      <c r="AG157" s="484"/>
      <c r="AH157" s="431">
        <f t="shared" si="22"/>
        <v>33080</v>
      </c>
      <c r="AK157" s="432">
        <f t="shared" si="26"/>
        <v>0</v>
      </c>
      <c r="AL157" s="479"/>
      <c r="AM157" s="479"/>
      <c r="AN157" s="519"/>
      <c r="AO157" s="519"/>
      <c r="AP157" s="519"/>
      <c r="AQ157" s="437">
        <v>0.02</v>
      </c>
      <c r="AR157" s="438">
        <f t="shared" si="24"/>
        <v>33080</v>
      </c>
      <c r="AS157" s="431"/>
      <c r="AT157" s="431"/>
      <c r="AU157" s="431"/>
      <c r="AV157" s="431"/>
      <c r="AW157" s="431"/>
      <c r="AX157" s="431"/>
      <c r="AY157" s="242"/>
      <c r="AZ157" s="488"/>
      <c r="BA157" s="431"/>
      <c r="BB157" s="431"/>
      <c r="BC157" s="431"/>
      <c r="BD157" s="431"/>
      <c r="BE157" s="431"/>
      <c r="BN157" s="204">
        <v>33080</v>
      </c>
      <c r="CJ157" s="104"/>
    </row>
    <row r="158" s="204" customFormat="1" customHeight="1" spans="1:88">
      <c r="F158" s="479"/>
      <c r="G158" s="480" t="s">
        <v>2102</v>
      </c>
      <c r="H158" s="480"/>
      <c r="I158" s="491" t="s">
        <v>2103</v>
      </c>
      <c r="J158" s="204">
        <v>23.61</v>
      </c>
      <c r="L158" s="204">
        <v>2282.08</v>
      </c>
      <c r="M158" s="430">
        <v>53880</v>
      </c>
      <c r="N158" s="431"/>
      <c r="O158" s="432"/>
      <c r="P158" s="518"/>
      <c r="Q158" s="520"/>
      <c r="R158" s="431"/>
      <c r="S158" s="434"/>
      <c r="T158" s="434"/>
      <c r="U158" s="434"/>
      <c r="V158" s="431">
        <v>2000</v>
      </c>
      <c r="W158" s="434">
        <v>45537</v>
      </c>
      <c r="X158" s="431">
        <v>51880</v>
      </c>
      <c r="Y158" s="435">
        <v>45548</v>
      </c>
      <c r="Z158" s="431"/>
      <c r="AA158" s="435"/>
      <c r="AB158" s="431"/>
      <c r="AC158" s="484"/>
      <c r="AD158" s="484"/>
      <c r="AE158" s="484"/>
      <c r="AF158" s="484"/>
      <c r="AG158" s="484"/>
      <c r="AH158" s="431">
        <f t="shared" si="22"/>
        <v>53880</v>
      </c>
      <c r="AK158" s="432">
        <f t="shared" si="26"/>
        <v>0</v>
      </c>
      <c r="AL158" s="479"/>
      <c r="AM158" s="479"/>
      <c r="AN158" s="519"/>
      <c r="AO158" s="519"/>
      <c r="AP158" s="519"/>
      <c r="AQ158" s="437">
        <v>0.02</v>
      </c>
      <c r="AR158" s="438">
        <f t="shared" si="24"/>
        <v>53880</v>
      </c>
      <c r="AS158" s="431"/>
      <c r="AT158" s="431"/>
      <c r="AU158" s="431"/>
      <c r="AV158" s="431"/>
      <c r="AW158" s="431"/>
      <c r="AX158" s="431"/>
      <c r="AY158" s="242"/>
      <c r="AZ158" s="486"/>
      <c r="BA158" s="431"/>
      <c r="BB158" s="431"/>
      <c r="BC158" s="431"/>
      <c r="BD158" s="431"/>
      <c r="BE158" s="431"/>
      <c r="BN158" s="204">
        <v>53880</v>
      </c>
      <c r="CJ158" s="104"/>
    </row>
    <row r="159" s="204" customFormat="1" customHeight="1" spans="1:88">
      <c r="F159" s="479"/>
      <c r="G159" s="480"/>
      <c r="H159" s="480"/>
      <c r="I159" s="491" t="s">
        <v>2104</v>
      </c>
      <c r="J159" s="204">
        <v>59.62</v>
      </c>
      <c r="M159" s="430"/>
      <c r="N159" s="431"/>
      <c r="O159" s="432"/>
      <c r="P159" s="518"/>
      <c r="Q159" s="520"/>
      <c r="R159" s="431"/>
      <c r="S159" s="434"/>
      <c r="T159" s="434"/>
      <c r="U159" s="434"/>
      <c r="V159" s="431"/>
      <c r="W159" s="484"/>
      <c r="X159" s="431"/>
      <c r="Y159" s="435"/>
      <c r="Z159" s="431"/>
      <c r="AA159" s="435"/>
      <c r="AB159" s="431"/>
      <c r="AC159" s="484"/>
      <c r="AD159" s="484"/>
      <c r="AE159" s="484"/>
      <c r="AF159" s="484"/>
      <c r="AG159" s="484"/>
      <c r="AH159" s="431">
        <f t="shared" si="22"/>
        <v>0</v>
      </c>
      <c r="AK159" s="432">
        <f t="shared" si="26"/>
        <v>0</v>
      </c>
      <c r="AL159" s="479"/>
      <c r="AM159" s="479"/>
      <c r="AN159" s="519"/>
      <c r="AO159" s="519"/>
      <c r="AP159" s="519"/>
      <c r="AQ159" s="437">
        <v>0.02</v>
      </c>
      <c r="AR159" s="438">
        <f t="shared" si="24"/>
        <v>0</v>
      </c>
      <c r="AS159" s="431"/>
      <c r="AT159" s="431"/>
      <c r="AU159" s="431"/>
      <c r="AV159" s="431"/>
      <c r="AW159" s="431"/>
      <c r="AX159" s="431"/>
      <c r="AY159" s="242"/>
      <c r="AZ159" s="486"/>
      <c r="BA159" s="431"/>
      <c r="BB159" s="431"/>
      <c r="BC159" s="431"/>
      <c r="BD159" s="431"/>
      <c r="BE159" s="431"/>
      <c r="CJ159" s="104"/>
    </row>
    <row r="160" s="204" customFormat="1" customHeight="1" spans="1:88">
      <c r="F160" s="479"/>
      <c r="G160" s="480"/>
      <c r="H160" s="480"/>
      <c r="I160" s="491" t="s">
        <v>2105</v>
      </c>
      <c r="J160" s="204">
        <v>57.73</v>
      </c>
      <c r="M160" s="430"/>
      <c r="N160" s="431"/>
      <c r="O160" s="432"/>
      <c r="P160" s="518"/>
      <c r="Q160" s="520"/>
      <c r="R160" s="431"/>
      <c r="S160" s="434"/>
      <c r="T160" s="434"/>
      <c r="U160" s="434"/>
      <c r="V160" s="431"/>
      <c r="W160" s="484"/>
      <c r="X160" s="431"/>
      <c r="Y160" s="435"/>
      <c r="Z160" s="431"/>
      <c r="AA160" s="435"/>
      <c r="AB160" s="431"/>
      <c r="AC160" s="484"/>
      <c r="AD160" s="484"/>
      <c r="AE160" s="484"/>
      <c r="AF160" s="484"/>
      <c r="AG160" s="484"/>
      <c r="AH160" s="431">
        <f t="shared" si="22"/>
        <v>0</v>
      </c>
      <c r="AK160" s="432">
        <f t="shared" si="26"/>
        <v>0</v>
      </c>
      <c r="AL160" s="479"/>
      <c r="AM160" s="479"/>
      <c r="AN160" s="519"/>
      <c r="AO160" s="519"/>
      <c r="AP160" s="519"/>
      <c r="AQ160" s="437">
        <v>0.02</v>
      </c>
      <c r="AR160" s="438">
        <f t="shared" si="24"/>
        <v>0</v>
      </c>
      <c r="AS160" s="431"/>
      <c r="AT160" s="431"/>
      <c r="AU160" s="431"/>
      <c r="AV160" s="431"/>
      <c r="AW160" s="431"/>
      <c r="AX160" s="431"/>
      <c r="AY160" s="242"/>
      <c r="AZ160" s="488"/>
      <c r="BA160" s="431"/>
      <c r="BB160" s="431"/>
      <c r="BC160" s="431"/>
      <c r="BD160" s="431"/>
      <c r="BE160" s="431"/>
      <c r="CJ160" s="104"/>
    </row>
    <row r="161" s="204" customFormat="1" customHeight="1" spans="6:88">
      <c r="F161" s="479"/>
      <c r="G161" s="480"/>
      <c r="H161" s="480" t="s">
        <v>1196</v>
      </c>
      <c r="I161" s="491" t="s">
        <v>2106</v>
      </c>
      <c r="J161" s="204">
        <v>14.5</v>
      </c>
      <c r="M161" s="430"/>
      <c r="N161" s="431">
        <v>33080</v>
      </c>
      <c r="O161" s="432"/>
      <c r="P161" s="518"/>
      <c r="Q161" s="520"/>
      <c r="R161" s="431"/>
      <c r="S161" s="434"/>
      <c r="T161" s="434"/>
      <c r="U161" s="434"/>
      <c r="V161" s="431"/>
      <c r="W161" s="484"/>
      <c r="X161" s="431"/>
      <c r="Y161" s="435"/>
      <c r="Z161" s="431"/>
      <c r="AA161" s="435"/>
      <c r="AB161" s="431"/>
      <c r="AC161" s="484"/>
      <c r="AD161" s="484"/>
      <c r="AE161" s="484"/>
      <c r="AF161" s="484"/>
      <c r="AG161" s="484"/>
      <c r="AH161" s="431">
        <f t="shared" ref="AH161:AH192" si="27">V161+X161+Z161+AB161+AD161+AF161</f>
        <v>0</v>
      </c>
      <c r="AK161" s="432">
        <f t="shared" si="26"/>
        <v>0</v>
      </c>
      <c r="AL161" s="479"/>
      <c r="AM161" s="479"/>
      <c r="AN161" s="519"/>
      <c r="AO161" s="519"/>
      <c r="AP161" s="519"/>
      <c r="AQ161" s="437">
        <v>0.02</v>
      </c>
      <c r="AR161" s="438">
        <f t="shared" si="24"/>
        <v>0</v>
      </c>
      <c r="AS161" s="431"/>
      <c r="AT161" s="431"/>
      <c r="AU161" s="431"/>
      <c r="AV161" s="431"/>
      <c r="AW161" s="431"/>
      <c r="AX161" s="431"/>
      <c r="AY161" s="242"/>
      <c r="AZ161" s="486"/>
      <c r="BA161" s="431"/>
      <c r="BB161" s="431"/>
      <c r="BC161" s="431"/>
      <c r="BD161" s="431"/>
      <c r="BE161" s="431"/>
      <c r="CJ161" s="104"/>
    </row>
    <row r="162" s="204" customFormat="1" customHeight="1" spans="6:88">
      <c r="F162" s="479"/>
      <c r="G162" s="480" t="s">
        <v>2015</v>
      </c>
      <c r="H162" s="480"/>
      <c r="I162" s="491" t="s">
        <v>2107</v>
      </c>
      <c r="J162" s="204">
        <v>14.87</v>
      </c>
      <c r="L162" s="204">
        <v>2281.1</v>
      </c>
      <c r="M162" s="430">
        <v>33920</v>
      </c>
      <c r="N162" s="431"/>
      <c r="O162" s="432"/>
      <c r="P162" s="518"/>
      <c r="Q162" s="520"/>
      <c r="R162" s="431"/>
      <c r="S162" s="434"/>
      <c r="T162" s="434"/>
      <c r="U162" s="434"/>
      <c r="V162" s="431">
        <v>5000</v>
      </c>
      <c r="W162" s="434">
        <v>45537</v>
      </c>
      <c r="X162" s="431">
        <v>28920</v>
      </c>
      <c r="Y162" s="435">
        <v>45541</v>
      </c>
      <c r="Z162" s="431"/>
      <c r="AA162" s="435"/>
      <c r="AB162" s="431"/>
      <c r="AC162" s="484"/>
      <c r="AD162" s="484"/>
      <c r="AE162" s="484"/>
      <c r="AF162" s="484"/>
      <c r="AG162" s="484"/>
      <c r="AH162" s="431">
        <f t="shared" si="27"/>
        <v>33920</v>
      </c>
      <c r="AK162" s="432">
        <f t="shared" si="26"/>
        <v>0</v>
      </c>
      <c r="AL162" s="479"/>
      <c r="AM162" s="479"/>
      <c r="AN162" s="519"/>
      <c r="AO162" s="519"/>
      <c r="AP162" s="519"/>
      <c r="AQ162" s="437">
        <v>0.02</v>
      </c>
      <c r="AR162" s="438">
        <f t="shared" si="24"/>
        <v>33920</v>
      </c>
      <c r="AS162" s="431"/>
      <c r="AT162" s="431"/>
      <c r="AU162" s="431"/>
      <c r="AV162" s="431"/>
      <c r="AW162" s="431"/>
      <c r="AX162" s="431"/>
      <c r="AY162" s="242"/>
      <c r="AZ162" s="486"/>
      <c r="BA162" s="431"/>
      <c r="BB162" s="431"/>
      <c r="BC162" s="431"/>
      <c r="BD162" s="431"/>
      <c r="BE162" s="431"/>
      <c r="BN162" s="204">
        <v>33920</v>
      </c>
      <c r="CJ162" s="104"/>
    </row>
    <row r="163" s="204" customFormat="1" customHeight="1" spans="6:88">
      <c r="F163" s="479"/>
      <c r="G163" s="480" t="s">
        <v>2108</v>
      </c>
      <c r="H163" s="480"/>
      <c r="I163" s="491" t="s">
        <v>2109</v>
      </c>
      <c r="J163" s="204">
        <v>15.11</v>
      </c>
      <c r="L163" s="204">
        <v>2281.93</v>
      </c>
      <c r="M163" s="430">
        <v>34480</v>
      </c>
      <c r="N163" s="431"/>
      <c r="O163" s="432"/>
      <c r="P163" s="518"/>
      <c r="Q163" s="520"/>
      <c r="R163" s="431"/>
      <c r="S163" s="434"/>
      <c r="T163" s="434"/>
      <c r="U163" s="434"/>
      <c r="V163" s="431">
        <v>3000</v>
      </c>
      <c r="W163" s="434">
        <v>45538</v>
      </c>
      <c r="X163" s="431">
        <v>31480</v>
      </c>
      <c r="Y163" s="435">
        <v>45563</v>
      </c>
      <c r="Z163" s="431"/>
      <c r="AA163" s="435"/>
      <c r="AB163" s="431"/>
      <c r="AC163" s="484"/>
      <c r="AD163" s="484"/>
      <c r="AE163" s="484"/>
      <c r="AF163" s="484"/>
      <c r="AG163" s="484"/>
      <c r="AH163" s="431">
        <f t="shared" si="27"/>
        <v>34480</v>
      </c>
      <c r="AK163" s="432">
        <f t="shared" si="26"/>
        <v>0</v>
      </c>
      <c r="AL163" s="479"/>
      <c r="AM163" s="479"/>
      <c r="AN163" s="519"/>
      <c r="AO163" s="519"/>
      <c r="AP163" s="519"/>
      <c r="AQ163" s="437">
        <v>0.02</v>
      </c>
      <c r="AR163" s="438">
        <f t="shared" si="24"/>
        <v>34480</v>
      </c>
      <c r="AS163" s="431"/>
      <c r="AT163" s="431"/>
      <c r="AU163" s="431"/>
      <c r="AV163" s="431"/>
      <c r="AW163" s="431"/>
      <c r="AX163" s="431"/>
      <c r="AY163" s="242"/>
      <c r="AZ163" s="486"/>
      <c r="BA163" s="431"/>
      <c r="BB163" s="431"/>
      <c r="BC163" s="431"/>
      <c r="BD163" s="431"/>
      <c r="BE163" s="431"/>
      <c r="BN163" s="204">
        <v>34480</v>
      </c>
      <c r="CJ163" s="104"/>
    </row>
    <row r="164" s="204" customFormat="1" customHeight="1" spans="6:88">
      <c r="F164" s="479"/>
      <c r="G164" s="480" t="s">
        <v>2110</v>
      </c>
      <c r="H164" s="480"/>
      <c r="I164" s="491" t="s">
        <v>2111</v>
      </c>
      <c r="J164" s="204">
        <v>14.5</v>
      </c>
      <c r="L164" s="204">
        <v>2281.38</v>
      </c>
      <c r="M164" s="430">
        <v>33080</v>
      </c>
      <c r="N164" s="431">
        <v>33080</v>
      </c>
      <c r="O164" s="432"/>
      <c r="P164" s="518"/>
      <c r="Q164" s="520"/>
      <c r="R164" s="431"/>
      <c r="S164" s="434"/>
      <c r="T164" s="434"/>
      <c r="U164" s="434"/>
      <c r="V164" s="431">
        <v>2000</v>
      </c>
      <c r="W164" s="434" t="s">
        <v>2112</v>
      </c>
      <c r="X164" s="431">
        <v>31080</v>
      </c>
      <c r="Y164" s="435" t="s">
        <v>2113</v>
      </c>
      <c r="Z164" s="431"/>
      <c r="AA164" s="435"/>
      <c r="AB164" s="431"/>
      <c r="AC164" s="484"/>
      <c r="AD164" s="484"/>
      <c r="AE164" s="484"/>
      <c r="AF164" s="484"/>
      <c r="AG164" s="484"/>
      <c r="AH164" s="431">
        <f t="shared" si="27"/>
        <v>33080</v>
      </c>
      <c r="AK164" s="432">
        <f t="shared" si="26"/>
        <v>0</v>
      </c>
      <c r="AL164" s="479"/>
      <c r="AM164" s="479"/>
      <c r="AN164" s="519"/>
      <c r="AO164" s="519"/>
      <c r="AP164" s="519"/>
      <c r="AQ164" s="437">
        <v>0.02</v>
      </c>
      <c r="AR164" s="438">
        <f t="shared" si="24"/>
        <v>33080</v>
      </c>
      <c r="AS164" s="431"/>
      <c r="AT164" s="431"/>
      <c r="AU164" s="431"/>
      <c r="AV164" s="431"/>
      <c r="AW164" s="431"/>
      <c r="AX164" s="431"/>
      <c r="AY164" s="242"/>
      <c r="AZ164" s="486"/>
      <c r="BA164" s="431"/>
      <c r="BB164" s="431"/>
      <c r="BC164" s="431"/>
      <c r="BD164" s="431"/>
      <c r="BE164" s="431"/>
      <c r="BR164" s="204">
        <v>33080</v>
      </c>
      <c r="CJ164" s="104"/>
    </row>
    <row r="165" s="204" customFormat="1" customHeight="1" spans="6:88">
      <c r="F165" s="479"/>
      <c r="G165" s="480"/>
      <c r="H165" s="480"/>
      <c r="I165" s="491" t="s">
        <v>2114</v>
      </c>
      <c r="J165" s="204">
        <v>57.73</v>
      </c>
      <c r="M165" s="430"/>
      <c r="N165" s="431"/>
      <c r="O165" s="432"/>
      <c r="P165" s="518"/>
      <c r="Q165" s="520"/>
      <c r="R165" s="431"/>
      <c r="S165" s="434"/>
      <c r="T165" s="434"/>
      <c r="U165" s="434"/>
      <c r="V165" s="431"/>
      <c r="W165" s="484"/>
      <c r="X165" s="431"/>
      <c r="Y165" s="435"/>
      <c r="Z165" s="431"/>
      <c r="AA165" s="435"/>
      <c r="AB165" s="431"/>
      <c r="AC165" s="484"/>
      <c r="AD165" s="484"/>
      <c r="AE165" s="484"/>
      <c r="AF165" s="484"/>
      <c r="AG165" s="484"/>
      <c r="AH165" s="431">
        <f t="shared" si="27"/>
        <v>0</v>
      </c>
      <c r="AK165" s="432">
        <f t="shared" si="26"/>
        <v>0</v>
      </c>
      <c r="AL165" s="479"/>
      <c r="AM165" s="479"/>
      <c r="AN165" s="519"/>
      <c r="AO165" s="519"/>
      <c r="AP165" s="519"/>
      <c r="AQ165" s="437">
        <v>0.02</v>
      </c>
      <c r="AR165" s="438">
        <f t="shared" si="24"/>
        <v>0</v>
      </c>
      <c r="AS165" s="431"/>
      <c r="AT165" s="431"/>
      <c r="AU165" s="431"/>
      <c r="AV165" s="431"/>
      <c r="AW165" s="431"/>
      <c r="AX165" s="431"/>
      <c r="AY165" s="242"/>
      <c r="AZ165" s="486"/>
      <c r="BA165" s="431"/>
      <c r="BB165" s="431"/>
      <c r="BC165" s="431"/>
      <c r="BD165" s="431"/>
      <c r="BE165" s="431"/>
      <c r="CJ165" s="104"/>
    </row>
    <row r="166" s="204" customFormat="1" customHeight="1" spans="6:88">
      <c r="F166" s="479"/>
      <c r="G166" s="480"/>
      <c r="H166" s="480"/>
      <c r="I166" s="491" t="s">
        <v>2115</v>
      </c>
      <c r="J166" s="204">
        <v>59.86</v>
      </c>
      <c r="M166" s="430"/>
      <c r="N166" s="431"/>
      <c r="O166" s="432"/>
      <c r="P166" s="518"/>
      <c r="Q166" s="520"/>
      <c r="R166" s="431"/>
      <c r="S166" s="434"/>
      <c r="T166" s="434"/>
      <c r="U166" s="434"/>
      <c r="V166" s="431"/>
      <c r="W166" s="484"/>
      <c r="X166" s="431"/>
      <c r="Y166" s="435"/>
      <c r="Z166" s="431"/>
      <c r="AA166" s="435"/>
      <c r="AB166" s="431"/>
      <c r="AC166" s="484"/>
      <c r="AD166" s="484"/>
      <c r="AE166" s="484"/>
      <c r="AF166" s="484"/>
      <c r="AG166" s="484"/>
      <c r="AH166" s="431">
        <f t="shared" si="27"/>
        <v>0</v>
      </c>
      <c r="AK166" s="432">
        <f t="shared" si="26"/>
        <v>0</v>
      </c>
      <c r="AL166" s="479"/>
      <c r="AM166" s="479"/>
      <c r="AN166" s="519"/>
      <c r="AO166" s="519"/>
      <c r="AP166" s="519"/>
      <c r="AQ166" s="437">
        <v>0.02</v>
      </c>
      <c r="AR166" s="438">
        <f t="shared" si="24"/>
        <v>0</v>
      </c>
      <c r="AS166" s="431"/>
      <c r="AT166" s="431"/>
      <c r="AU166" s="431"/>
      <c r="AV166" s="431"/>
      <c r="AW166" s="431"/>
      <c r="AX166" s="431"/>
      <c r="AY166" s="242"/>
      <c r="AZ166" s="486"/>
      <c r="BA166" s="431"/>
      <c r="BB166" s="431"/>
      <c r="BC166" s="431"/>
      <c r="BD166" s="431"/>
      <c r="BE166" s="431"/>
      <c r="CJ166" s="104"/>
    </row>
    <row r="167" s="204" customFormat="1" customHeight="1" spans="6:88">
      <c r="F167" s="479"/>
      <c r="G167" s="480" t="s">
        <v>2116</v>
      </c>
      <c r="H167" s="480"/>
      <c r="I167" s="491" t="s">
        <v>2117</v>
      </c>
      <c r="J167" s="204">
        <v>23.61</v>
      </c>
      <c r="L167" s="204">
        <v>2282.08</v>
      </c>
      <c r="M167" s="430">
        <v>53880</v>
      </c>
      <c r="N167" s="431"/>
      <c r="O167" s="432"/>
      <c r="P167" s="518"/>
      <c r="Q167" s="520"/>
      <c r="R167" s="431"/>
      <c r="S167" s="434"/>
      <c r="T167" s="434"/>
      <c r="U167" s="434"/>
      <c r="V167" s="431">
        <v>2000</v>
      </c>
      <c r="W167" s="434">
        <v>45537</v>
      </c>
      <c r="X167" s="431">
        <v>51880</v>
      </c>
      <c r="Y167" s="435">
        <v>45548</v>
      </c>
      <c r="Z167" s="431"/>
      <c r="AA167" s="435"/>
      <c r="AB167" s="431"/>
      <c r="AC167" s="484"/>
      <c r="AD167" s="484"/>
      <c r="AE167" s="484"/>
      <c r="AF167" s="484"/>
      <c r="AG167" s="484"/>
      <c r="AH167" s="431">
        <f t="shared" si="27"/>
        <v>53880</v>
      </c>
      <c r="AK167" s="432">
        <f t="shared" si="26"/>
        <v>0</v>
      </c>
      <c r="AL167" s="479"/>
      <c r="AM167" s="479"/>
      <c r="AN167" s="519"/>
      <c r="AO167" s="519"/>
      <c r="AP167" s="519"/>
      <c r="AQ167" s="437">
        <v>0.02</v>
      </c>
      <c r="AR167" s="438">
        <f t="shared" si="24"/>
        <v>53880</v>
      </c>
      <c r="AS167" s="431"/>
      <c r="AT167" s="431"/>
      <c r="AU167" s="431"/>
      <c r="AV167" s="431"/>
      <c r="AW167" s="431"/>
      <c r="AX167" s="431"/>
      <c r="AY167" s="242"/>
      <c r="AZ167" s="486"/>
      <c r="BA167" s="431"/>
      <c r="BB167" s="431"/>
      <c r="BC167" s="431"/>
      <c r="BD167" s="431"/>
      <c r="BE167" s="431"/>
      <c r="BN167" s="204">
        <v>53880</v>
      </c>
      <c r="CJ167" s="104"/>
    </row>
    <row r="168" s="204" customFormat="1" customHeight="1" spans="6:88">
      <c r="F168" s="479"/>
      <c r="G168" s="490" t="s">
        <v>1849</v>
      </c>
      <c r="H168" s="480"/>
      <c r="I168" s="491" t="s">
        <v>2118</v>
      </c>
      <c r="J168" s="204">
        <v>14.5</v>
      </c>
      <c r="L168" s="204">
        <v>2281.38</v>
      </c>
      <c r="M168" s="430">
        <v>33080</v>
      </c>
      <c r="N168" s="431"/>
      <c r="O168" s="432"/>
      <c r="P168" s="518"/>
      <c r="Q168" s="520"/>
      <c r="R168" s="431"/>
      <c r="S168" s="434"/>
      <c r="T168" s="434"/>
      <c r="U168" s="434"/>
      <c r="V168" s="431">
        <v>2000</v>
      </c>
      <c r="W168" s="435">
        <v>45543</v>
      </c>
      <c r="X168" s="431">
        <v>31080</v>
      </c>
      <c r="Y168" s="435">
        <v>45562</v>
      </c>
      <c r="Z168" s="431"/>
      <c r="AA168" s="435"/>
      <c r="AB168" s="431"/>
      <c r="AC168" s="484"/>
      <c r="AD168" s="484"/>
      <c r="AE168" s="484"/>
      <c r="AF168" s="484"/>
      <c r="AG168" s="484"/>
      <c r="AH168" s="431">
        <f t="shared" si="27"/>
        <v>33080</v>
      </c>
      <c r="AK168" s="432">
        <f t="shared" si="26"/>
        <v>0</v>
      </c>
      <c r="AL168" s="479"/>
      <c r="AM168" s="479"/>
      <c r="AN168" s="519"/>
      <c r="AO168" s="519"/>
      <c r="AP168" s="519"/>
      <c r="AQ168" s="437">
        <v>0.02</v>
      </c>
      <c r="AR168" s="438">
        <f t="shared" si="24"/>
        <v>33080</v>
      </c>
      <c r="AS168" s="431"/>
      <c r="AT168" s="431"/>
      <c r="AU168" s="431"/>
      <c r="AV168" s="431"/>
      <c r="AW168" s="431"/>
      <c r="AX168" s="431"/>
      <c r="AY168" s="242"/>
      <c r="AZ168" s="101"/>
      <c r="BA168" s="431"/>
      <c r="BB168" s="431"/>
      <c r="BC168" s="431"/>
      <c r="BD168" s="431"/>
      <c r="BE168" s="431"/>
      <c r="BN168" s="204">
        <v>33080</v>
      </c>
      <c r="CJ168" s="104"/>
    </row>
    <row r="169" s="204" customFormat="1" customHeight="1" spans="6:88">
      <c r="F169" s="479"/>
      <c r="G169" s="480" t="s">
        <v>2119</v>
      </c>
      <c r="H169" s="480"/>
      <c r="I169" s="491" t="s">
        <v>2120</v>
      </c>
      <c r="J169" s="204">
        <v>14.85</v>
      </c>
      <c r="L169" s="204">
        <f>M169/J169</f>
        <v>2146.80134680135</v>
      </c>
      <c r="M169" s="430">
        <v>31880</v>
      </c>
      <c r="N169" s="431" t="s">
        <v>2121</v>
      </c>
      <c r="O169" s="432"/>
      <c r="P169" s="518"/>
      <c r="Q169" s="520"/>
      <c r="R169" s="431"/>
      <c r="S169" s="434"/>
      <c r="T169" s="434"/>
      <c r="U169" s="434"/>
      <c r="V169" s="431">
        <v>31880</v>
      </c>
      <c r="W169" s="434" t="s">
        <v>2122</v>
      </c>
      <c r="X169" s="431"/>
      <c r="Y169" s="435"/>
      <c r="Z169" s="431"/>
      <c r="AA169" s="435"/>
      <c r="AB169" s="431"/>
      <c r="AC169" s="484"/>
      <c r="AD169" s="484"/>
      <c r="AE169" s="484"/>
      <c r="AF169" s="484"/>
      <c r="AG169" s="484"/>
      <c r="AH169" s="431">
        <f t="shared" si="27"/>
        <v>31880</v>
      </c>
      <c r="AK169" s="432">
        <f t="shared" si="26"/>
        <v>0</v>
      </c>
      <c r="AL169" s="479"/>
      <c r="AM169" s="479"/>
      <c r="AN169" s="519"/>
      <c r="AO169" s="519"/>
      <c r="AP169" s="521" t="s">
        <v>2123</v>
      </c>
      <c r="AQ169" s="522">
        <v>0.02</v>
      </c>
      <c r="AR169" s="523">
        <f t="shared" si="24"/>
        <v>0</v>
      </c>
      <c r="AS169" s="431"/>
      <c r="AT169" s="431"/>
      <c r="AU169" s="431"/>
      <c r="AV169" s="431"/>
      <c r="AW169" s="431"/>
      <c r="AX169" s="431"/>
      <c r="AY169" s="242"/>
      <c r="AZ169" s="101"/>
      <c r="BA169" s="431"/>
      <c r="BB169" s="431"/>
      <c r="BC169" s="431"/>
      <c r="BD169" s="431"/>
      <c r="BE169" s="431"/>
      <c r="CJ169" s="104"/>
    </row>
    <row r="170" s="204" customFormat="1" customHeight="1" spans="6:88">
      <c r="F170" s="479"/>
      <c r="G170" s="480" t="s">
        <v>2124</v>
      </c>
      <c r="H170" s="480"/>
      <c r="I170" s="491" t="s">
        <v>2125</v>
      </c>
      <c r="J170" s="204">
        <v>14.85</v>
      </c>
      <c r="L170" s="204">
        <v>2281.48</v>
      </c>
      <c r="M170" s="430">
        <v>33880</v>
      </c>
      <c r="N170" s="431"/>
      <c r="O170" s="432"/>
      <c r="P170" s="518"/>
      <c r="Q170" s="520"/>
      <c r="R170" s="431"/>
      <c r="S170" s="434"/>
      <c r="T170" s="434"/>
      <c r="U170" s="434"/>
      <c r="V170" s="431">
        <v>5000</v>
      </c>
      <c r="W170" s="434">
        <v>45537</v>
      </c>
      <c r="X170" s="431">
        <v>28880</v>
      </c>
      <c r="Y170" s="434" t="s">
        <v>2126</v>
      </c>
      <c r="Z170" s="431"/>
      <c r="AA170" s="435"/>
      <c r="AB170" s="431"/>
      <c r="AC170" s="484"/>
      <c r="AD170" s="484"/>
      <c r="AE170" s="484"/>
      <c r="AF170" s="484"/>
      <c r="AG170" s="484"/>
      <c r="AH170" s="431">
        <f t="shared" si="27"/>
        <v>33880</v>
      </c>
      <c r="AK170" s="432">
        <f t="shared" si="26"/>
        <v>0</v>
      </c>
      <c r="AL170" s="479"/>
      <c r="AM170" s="479"/>
      <c r="AN170" s="519"/>
      <c r="AO170" s="519"/>
      <c r="AP170" s="519"/>
      <c r="AQ170" s="437">
        <v>0.02</v>
      </c>
      <c r="AR170" s="438">
        <f t="shared" si="24"/>
        <v>33880</v>
      </c>
      <c r="AS170" s="431"/>
      <c r="AT170" s="431"/>
      <c r="AU170" s="431"/>
      <c r="AV170" s="431"/>
      <c r="AW170" s="431"/>
      <c r="AX170" s="431"/>
      <c r="AY170" s="242"/>
      <c r="AZ170" s="101"/>
      <c r="BA170" s="431"/>
      <c r="BB170" s="431"/>
      <c r="BC170" s="431"/>
      <c r="BD170" s="431"/>
      <c r="BE170" s="431"/>
      <c r="BQ170" s="204">
        <v>33880</v>
      </c>
      <c r="CJ170" s="104"/>
    </row>
    <row r="171" s="204" customFormat="1" customHeight="1" spans="6:88">
      <c r="F171" s="479"/>
      <c r="G171" s="480"/>
      <c r="H171" s="480" t="s">
        <v>1196</v>
      </c>
      <c r="I171" s="491" t="s">
        <v>2127</v>
      </c>
      <c r="J171" s="204">
        <v>14.5</v>
      </c>
      <c r="L171" s="204">
        <v>2281.38</v>
      </c>
      <c r="M171" s="430"/>
      <c r="N171" s="431">
        <v>33080</v>
      </c>
      <c r="O171" s="432"/>
      <c r="P171" s="518"/>
      <c r="Q171" s="520"/>
      <c r="R171" s="431"/>
      <c r="S171" s="434"/>
      <c r="T171" s="434"/>
      <c r="U171" s="434"/>
      <c r="V171" s="431"/>
      <c r="W171" s="484"/>
      <c r="X171" s="431"/>
      <c r="Y171" s="435"/>
      <c r="Z171" s="431"/>
      <c r="AA171" s="435"/>
      <c r="AB171" s="431"/>
      <c r="AC171" s="484"/>
      <c r="AD171" s="484"/>
      <c r="AE171" s="484"/>
      <c r="AF171" s="484"/>
      <c r="AG171" s="484"/>
      <c r="AH171" s="431">
        <f t="shared" si="27"/>
        <v>0</v>
      </c>
      <c r="AK171" s="432">
        <f t="shared" si="26"/>
        <v>0</v>
      </c>
      <c r="AL171" s="479"/>
      <c r="AM171" s="479"/>
      <c r="AN171" s="519"/>
      <c r="AO171" s="519"/>
      <c r="AP171" s="519"/>
      <c r="AQ171" s="437">
        <v>0.02</v>
      </c>
      <c r="AR171" s="438">
        <f t="shared" si="24"/>
        <v>0</v>
      </c>
      <c r="AS171" s="431"/>
      <c r="AT171" s="431"/>
      <c r="AU171" s="431"/>
      <c r="AV171" s="431"/>
      <c r="AW171" s="431"/>
      <c r="AX171" s="431"/>
      <c r="AY171" s="242"/>
      <c r="AZ171" s="101"/>
      <c r="BA171" s="431"/>
      <c r="BB171" s="431"/>
      <c r="BC171" s="431"/>
      <c r="BD171" s="431"/>
      <c r="BE171" s="431"/>
      <c r="CJ171" s="104"/>
    </row>
    <row r="172" s="204" customFormat="1" customHeight="1" spans="6:88">
      <c r="F172" s="479"/>
      <c r="G172" s="480" t="s">
        <v>2128</v>
      </c>
      <c r="H172" s="480"/>
      <c r="I172" s="491" t="s">
        <v>2129</v>
      </c>
      <c r="J172" s="204">
        <v>23.61</v>
      </c>
      <c r="L172" s="204">
        <v>2282.08</v>
      </c>
      <c r="M172" s="430">
        <v>53880</v>
      </c>
      <c r="N172" s="431"/>
      <c r="O172" s="432"/>
      <c r="P172" s="518"/>
      <c r="Q172" s="520"/>
      <c r="R172" s="431"/>
      <c r="S172" s="434"/>
      <c r="T172" s="434"/>
      <c r="U172" s="434"/>
      <c r="V172" s="431">
        <v>2000</v>
      </c>
      <c r="W172" s="434">
        <v>45537</v>
      </c>
      <c r="X172" s="431">
        <v>51880</v>
      </c>
      <c r="Y172" s="435">
        <v>45544</v>
      </c>
      <c r="Z172" s="431"/>
      <c r="AA172" s="435"/>
      <c r="AB172" s="431"/>
      <c r="AC172" s="484"/>
      <c r="AD172" s="484"/>
      <c r="AE172" s="484"/>
      <c r="AF172" s="484"/>
      <c r="AG172" s="484"/>
      <c r="AH172" s="431">
        <f t="shared" si="27"/>
        <v>53880</v>
      </c>
      <c r="AK172" s="432">
        <f t="shared" si="26"/>
        <v>0</v>
      </c>
      <c r="AL172" s="479"/>
      <c r="AM172" s="479"/>
      <c r="AN172" s="519"/>
      <c r="AO172" s="519"/>
      <c r="AP172" s="519"/>
      <c r="AQ172" s="437">
        <v>0.02</v>
      </c>
      <c r="AR172" s="438">
        <f t="shared" si="24"/>
        <v>53880</v>
      </c>
      <c r="AS172" s="431"/>
      <c r="AT172" s="431"/>
      <c r="AU172" s="431"/>
      <c r="AV172" s="431"/>
      <c r="AW172" s="431"/>
      <c r="AX172" s="431"/>
      <c r="AY172" s="242"/>
      <c r="AZ172" s="101"/>
      <c r="BA172" s="431"/>
      <c r="BB172" s="431"/>
      <c r="BC172" s="431"/>
      <c r="BD172" s="431"/>
      <c r="BE172" s="431"/>
      <c r="BN172" s="204">
        <v>53880</v>
      </c>
      <c r="CJ172" s="104"/>
    </row>
    <row r="173" s="204" customFormat="1" customHeight="1" spans="6:88">
      <c r="F173" s="479"/>
      <c r="G173" s="480"/>
      <c r="H173" s="480"/>
      <c r="I173" s="491" t="s">
        <v>2130</v>
      </c>
      <c r="J173" s="204">
        <v>59.86</v>
      </c>
      <c r="M173" s="430"/>
      <c r="N173" s="431"/>
      <c r="O173" s="432"/>
      <c r="P173" s="518"/>
      <c r="Q173" s="520"/>
      <c r="R173" s="431"/>
      <c r="S173" s="434"/>
      <c r="T173" s="434"/>
      <c r="U173" s="434"/>
      <c r="V173" s="431"/>
      <c r="W173" s="484"/>
      <c r="X173" s="431"/>
      <c r="Y173" s="435"/>
      <c r="Z173" s="431"/>
      <c r="AA173" s="435"/>
      <c r="AB173" s="431"/>
      <c r="AC173" s="484"/>
      <c r="AD173" s="484"/>
      <c r="AE173" s="484"/>
      <c r="AF173" s="484"/>
      <c r="AG173" s="484"/>
      <c r="AH173" s="431">
        <f t="shared" si="27"/>
        <v>0</v>
      </c>
      <c r="AK173" s="432">
        <f t="shared" si="26"/>
        <v>0</v>
      </c>
      <c r="AL173" s="479"/>
      <c r="AM173" s="479"/>
      <c r="AN173" s="519"/>
      <c r="AO173" s="519"/>
      <c r="AP173" s="519"/>
      <c r="AQ173" s="437">
        <v>0.02</v>
      </c>
      <c r="AR173" s="438">
        <f t="shared" si="24"/>
        <v>0</v>
      </c>
      <c r="AS173" s="431"/>
      <c r="AT173" s="431"/>
      <c r="AU173" s="431"/>
      <c r="AV173" s="431"/>
      <c r="AW173" s="431"/>
      <c r="AX173" s="431"/>
      <c r="AY173" s="242"/>
      <c r="AZ173" s="101"/>
      <c r="BA173" s="431"/>
      <c r="BB173" s="431"/>
      <c r="BC173" s="431"/>
      <c r="BD173" s="431"/>
      <c r="BE173" s="431"/>
      <c r="CJ173" s="104"/>
    </row>
    <row r="174" s="204" customFormat="1" customHeight="1" spans="6:88">
      <c r="F174" s="479"/>
      <c r="G174" s="480"/>
      <c r="H174" s="480"/>
      <c r="I174" s="491" t="s">
        <v>2131</v>
      </c>
      <c r="J174" s="204">
        <v>60.13</v>
      </c>
      <c r="M174" s="430"/>
      <c r="N174" s="431"/>
      <c r="O174" s="432"/>
      <c r="P174" s="518"/>
      <c r="Q174" s="520"/>
      <c r="R174" s="431"/>
      <c r="S174" s="434"/>
      <c r="T174" s="434"/>
      <c r="U174" s="434"/>
      <c r="V174" s="431"/>
      <c r="W174" s="484"/>
      <c r="X174" s="431"/>
      <c r="Y174" s="435"/>
      <c r="Z174" s="431"/>
      <c r="AA174" s="435"/>
      <c r="AB174" s="431"/>
      <c r="AC174" s="484"/>
      <c r="AD174" s="484"/>
      <c r="AE174" s="484"/>
      <c r="AF174" s="484"/>
      <c r="AG174" s="484"/>
      <c r="AH174" s="431">
        <f t="shared" si="27"/>
        <v>0</v>
      </c>
      <c r="AK174" s="432">
        <f t="shared" si="26"/>
        <v>0</v>
      </c>
      <c r="AL174" s="479"/>
      <c r="AM174" s="479"/>
      <c r="AN174" s="519"/>
      <c r="AO174" s="519"/>
      <c r="AP174" s="519"/>
      <c r="AQ174" s="437">
        <v>0.02</v>
      </c>
      <c r="AR174" s="438">
        <f t="shared" si="24"/>
        <v>0</v>
      </c>
      <c r="AS174" s="431"/>
      <c r="AT174" s="431"/>
      <c r="AU174" s="431"/>
      <c r="AV174" s="431"/>
      <c r="AW174" s="431"/>
      <c r="AX174" s="431"/>
      <c r="AY174" s="242"/>
      <c r="AZ174" s="101"/>
      <c r="BA174" s="431"/>
      <c r="BB174" s="431"/>
      <c r="BC174" s="431"/>
      <c r="BD174" s="431"/>
      <c r="BE174" s="431"/>
      <c r="CJ174" s="104"/>
    </row>
    <row r="175" s="204" customFormat="1" customHeight="1" spans="6:88">
      <c r="F175" s="479"/>
      <c r="G175" s="480" t="s">
        <v>2132</v>
      </c>
      <c r="H175" s="480"/>
      <c r="I175" s="491" t="s">
        <v>2133</v>
      </c>
      <c r="J175" s="204">
        <v>23.61</v>
      </c>
      <c r="L175" s="204">
        <v>2282.08</v>
      </c>
      <c r="M175" s="430">
        <v>53880</v>
      </c>
      <c r="N175" s="431"/>
      <c r="O175" s="432"/>
      <c r="P175" s="518"/>
      <c r="Q175" s="520"/>
      <c r="R175" s="431"/>
      <c r="S175" s="434"/>
      <c r="T175" s="434"/>
      <c r="U175" s="434"/>
      <c r="V175" s="431">
        <v>53880</v>
      </c>
      <c r="W175" s="434">
        <v>45537</v>
      </c>
      <c r="X175" s="431"/>
      <c r="Y175" s="435"/>
      <c r="Z175" s="431"/>
      <c r="AA175" s="435"/>
      <c r="AB175" s="431"/>
      <c r="AC175" s="484"/>
      <c r="AD175" s="484"/>
      <c r="AE175" s="484"/>
      <c r="AF175" s="484"/>
      <c r="AG175" s="484"/>
      <c r="AH175" s="431">
        <f t="shared" si="27"/>
        <v>53880</v>
      </c>
      <c r="AK175" s="432">
        <f t="shared" si="26"/>
        <v>0</v>
      </c>
      <c r="AL175" s="479"/>
      <c r="AM175" s="479"/>
      <c r="AN175" s="519"/>
      <c r="AO175" s="519"/>
      <c r="AP175" s="519"/>
      <c r="AQ175" s="437">
        <v>0.02</v>
      </c>
      <c r="AR175" s="438">
        <f t="shared" si="24"/>
        <v>53880</v>
      </c>
      <c r="AS175" s="431"/>
      <c r="AT175" s="431"/>
      <c r="AU175" s="431"/>
      <c r="AV175" s="431"/>
      <c r="AW175" s="431"/>
      <c r="AX175" s="431"/>
      <c r="AY175" s="242"/>
      <c r="AZ175" s="101"/>
      <c r="BA175" s="431"/>
      <c r="BB175" s="431"/>
      <c r="BC175" s="431"/>
      <c r="BD175" s="431"/>
      <c r="BE175" s="431"/>
      <c r="BN175" s="204">
        <v>53880</v>
      </c>
      <c r="CJ175" s="104"/>
    </row>
    <row r="176" s="204" customFormat="1" customHeight="1" spans="6:88">
      <c r="F176" s="479"/>
      <c r="G176" s="480" t="s">
        <v>2134</v>
      </c>
      <c r="H176" s="480"/>
      <c r="I176" s="491" t="s">
        <v>2135</v>
      </c>
      <c r="J176" s="204">
        <v>14.5</v>
      </c>
      <c r="L176" s="204">
        <v>2281.38</v>
      </c>
      <c r="M176" s="430">
        <v>33080</v>
      </c>
      <c r="N176" s="431"/>
      <c r="O176" s="432"/>
      <c r="P176" s="518"/>
      <c r="Q176" s="520"/>
      <c r="R176" s="431"/>
      <c r="S176" s="434"/>
      <c r="T176" s="434"/>
      <c r="U176" s="434"/>
      <c r="V176" s="431">
        <v>3000</v>
      </c>
      <c r="W176" s="434">
        <v>45538</v>
      </c>
      <c r="X176" s="431">
        <v>30080</v>
      </c>
      <c r="Y176" s="434">
        <v>45575</v>
      </c>
      <c r="Z176" s="431"/>
      <c r="AA176" s="435"/>
      <c r="AB176" s="431"/>
      <c r="AC176" s="484"/>
      <c r="AD176" s="484"/>
      <c r="AE176" s="484"/>
      <c r="AF176" s="484"/>
      <c r="AG176" s="484"/>
      <c r="AH176" s="431">
        <f t="shared" si="27"/>
        <v>33080</v>
      </c>
      <c r="AK176" s="432">
        <f t="shared" si="26"/>
        <v>0</v>
      </c>
      <c r="AL176" s="479"/>
      <c r="AM176" s="479"/>
      <c r="AN176" s="519"/>
      <c r="AO176" s="519"/>
      <c r="AP176" s="519"/>
      <c r="AQ176" s="437">
        <v>0.02</v>
      </c>
      <c r="AR176" s="438">
        <f t="shared" si="24"/>
        <v>33080</v>
      </c>
      <c r="AS176" s="431"/>
      <c r="AT176" s="431"/>
      <c r="AU176" s="431"/>
      <c r="AV176" s="431"/>
      <c r="AW176" s="431"/>
      <c r="AX176" s="431"/>
      <c r="AY176" s="242"/>
      <c r="AZ176" s="101"/>
      <c r="BA176" s="431"/>
      <c r="BB176" s="431"/>
      <c r="BC176" s="431"/>
      <c r="BD176" s="431"/>
      <c r="BE176" s="431"/>
      <c r="BO176" s="204">
        <v>33080</v>
      </c>
      <c r="CJ176" s="104"/>
    </row>
    <row r="177" s="204" customFormat="1" customHeight="1" spans="1:88">
      <c r="F177" s="479"/>
      <c r="G177" s="480" t="s">
        <v>2136</v>
      </c>
      <c r="H177" s="480"/>
      <c r="I177" s="491" t="s">
        <v>2137</v>
      </c>
      <c r="J177" s="204">
        <v>14.97</v>
      </c>
      <c r="L177" s="204">
        <v>2281.9</v>
      </c>
      <c r="M177" s="430">
        <v>34160</v>
      </c>
      <c r="N177" s="431"/>
      <c r="O177" s="432"/>
      <c r="P177" s="518"/>
      <c r="Q177" s="520"/>
      <c r="R177" s="431"/>
      <c r="S177" s="434"/>
      <c r="T177" s="434"/>
      <c r="U177" s="434"/>
      <c r="V177" s="431">
        <v>2000</v>
      </c>
      <c r="W177" s="434">
        <v>45537</v>
      </c>
      <c r="X177" s="431">
        <v>32160</v>
      </c>
      <c r="Y177" s="434" t="s">
        <v>2138</v>
      </c>
      <c r="Z177" s="431"/>
      <c r="AA177" s="435"/>
      <c r="AB177" s="431"/>
      <c r="AC177" s="484"/>
      <c r="AD177" s="484"/>
      <c r="AE177" s="484"/>
      <c r="AF177" s="484"/>
      <c r="AG177" s="484"/>
      <c r="AH177" s="431">
        <f t="shared" si="27"/>
        <v>34160</v>
      </c>
      <c r="AK177" s="432">
        <f t="shared" si="26"/>
        <v>0</v>
      </c>
      <c r="AL177" s="479"/>
      <c r="AM177" s="479"/>
      <c r="AN177" s="519"/>
      <c r="AO177" s="519"/>
      <c r="AP177" s="519"/>
      <c r="AQ177" s="437">
        <v>0.02</v>
      </c>
      <c r="AR177" s="438">
        <f t="shared" si="24"/>
        <v>34160</v>
      </c>
      <c r="AS177" s="431"/>
      <c r="AT177" s="431"/>
      <c r="AU177" s="431"/>
      <c r="AV177" s="431"/>
      <c r="AW177" s="431"/>
      <c r="AX177" s="431"/>
      <c r="AY177" s="242"/>
      <c r="AZ177" s="101"/>
      <c r="BA177" s="431"/>
      <c r="BB177" s="431"/>
      <c r="BC177" s="431"/>
      <c r="BD177" s="431"/>
      <c r="BE177" s="431"/>
      <c r="BO177" s="204">
        <v>34160</v>
      </c>
      <c r="CJ177" s="104"/>
    </row>
    <row r="178" s="385" customFormat="1" customHeight="1" spans="1:88">
      <c r="A178" s="385">
        <v>111</v>
      </c>
      <c r="C178" s="146">
        <v>44966</v>
      </c>
      <c r="D178" s="524" t="s">
        <v>2139</v>
      </c>
      <c r="F178" s="456" t="s">
        <v>2140</v>
      </c>
      <c r="G178" s="468" t="s">
        <v>2141</v>
      </c>
      <c r="H178" s="1028" t="s">
        <v>2142</v>
      </c>
      <c r="I178" s="441" t="s">
        <v>2143</v>
      </c>
      <c r="J178" s="385">
        <v>107.8</v>
      </c>
      <c r="K178" s="385">
        <v>107.8</v>
      </c>
      <c r="L178" s="385">
        <v>7961</v>
      </c>
      <c r="M178" s="464">
        <v>858196</v>
      </c>
      <c r="N178" s="465"/>
      <c r="O178" s="473">
        <v>787335.78</v>
      </c>
      <c r="P178" s="474" t="s">
        <v>2144</v>
      </c>
      <c r="Q178" s="476">
        <v>45608</v>
      </c>
      <c r="R178" s="145"/>
      <c r="S178" s="445"/>
      <c r="T178" s="453" t="s">
        <v>2145</v>
      </c>
      <c r="U178" s="445" t="s">
        <v>2146</v>
      </c>
      <c r="V178" s="145">
        <v>298196</v>
      </c>
      <c r="W178" s="385" t="s">
        <v>1259</v>
      </c>
      <c r="X178" s="145">
        <v>130000</v>
      </c>
      <c r="Y178" s="146" t="s">
        <v>2147</v>
      </c>
      <c r="Z178" s="145">
        <v>430000</v>
      </c>
      <c r="AA178" s="385" t="s">
        <v>2067</v>
      </c>
      <c r="AB178" s="145"/>
      <c r="AH178" s="145">
        <f t="shared" si="27"/>
        <v>858196</v>
      </c>
      <c r="AK178" s="390">
        <f t="shared" ref="AK153:AK216" si="28">M178-AH178</f>
        <v>0</v>
      </c>
      <c r="AL178" s="456" t="s">
        <v>2148</v>
      </c>
      <c r="AM178" s="456"/>
      <c r="AN178" s="475"/>
      <c r="AO178" s="475"/>
      <c r="AP178" s="475"/>
      <c r="AQ178" s="395">
        <f>0.6%+0.04%+0.1%</f>
        <v>0.0074</v>
      </c>
      <c r="AR178" s="447">
        <f t="shared" si="24"/>
        <v>858196</v>
      </c>
      <c r="AS178" s="145">
        <v>100</v>
      </c>
      <c r="AT178" s="145">
        <f>100+100</f>
        <v>200</v>
      </c>
      <c r="AU178" s="145"/>
      <c r="AV178" s="145"/>
      <c r="AW178" s="145"/>
      <c r="AX178" s="145">
        <v>428196</v>
      </c>
      <c r="AY178" s="223"/>
      <c r="AZ178" s="125">
        <v>430000</v>
      </c>
      <c r="BA178" s="145"/>
      <c r="BB178" s="145"/>
      <c r="BC178" s="145"/>
      <c r="BD178" s="145"/>
      <c r="BE178" s="145"/>
      <c r="BZ178" s="385" t="s">
        <v>260</v>
      </c>
      <c r="CA178" s="385" t="s">
        <v>271</v>
      </c>
      <c r="CB178" s="385" t="s">
        <v>261</v>
      </c>
      <c r="CE178" s="204"/>
    </row>
    <row r="179" s="385" customFormat="1" customHeight="1" spans="1:88">
      <c r="A179" s="385">
        <v>112</v>
      </c>
      <c r="C179" s="146">
        <v>45075</v>
      </c>
      <c r="D179" s="385">
        <v>20230004510</v>
      </c>
      <c r="F179" s="456" t="s">
        <v>1073</v>
      </c>
      <c r="G179" s="468" t="s">
        <v>1074</v>
      </c>
      <c r="H179" s="1028" t="s">
        <v>2149</v>
      </c>
      <c r="I179" s="451" t="s">
        <v>2150</v>
      </c>
      <c r="J179" s="385">
        <v>107.62</v>
      </c>
      <c r="K179" s="385">
        <v>107.62</v>
      </c>
      <c r="L179" s="385">
        <v>8000</v>
      </c>
      <c r="M179" s="464">
        <v>860960</v>
      </c>
      <c r="N179" s="465">
        <v>5549.98</v>
      </c>
      <c r="O179" s="473">
        <v>789871.56</v>
      </c>
      <c r="P179" s="474" t="s">
        <v>2151</v>
      </c>
      <c r="Q179" s="476">
        <v>45713</v>
      </c>
      <c r="R179" s="145"/>
      <c r="S179" s="445"/>
      <c r="T179" s="445"/>
      <c r="U179" s="445" t="s">
        <v>2152</v>
      </c>
      <c r="V179" s="145">
        <v>20000</v>
      </c>
      <c r="W179" s="471" t="s">
        <v>846</v>
      </c>
      <c r="X179" s="145">
        <v>152192</v>
      </c>
      <c r="Y179" s="471" t="s">
        <v>1634</v>
      </c>
      <c r="Z179" s="145">
        <v>370000</v>
      </c>
      <c r="AA179" s="146" t="s">
        <v>491</v>
      </c>
      <c r="AB179" s="145">
        <v>318768</v>
      </c>
      <c r="AC179" s="445" t="s">
        <v>896</v>
      </c>
      <c r="AD179" s="146"/>
      <c r="AE179" s="146"/>
      <c r="AF179" s="146"/>
      <c r="AG179" s="146"/>
      <c r="AH179" s="145">
        <f t="shared" si="27"/>
        <v>860960</v>
      </c>
      <c r="AK179" s="390">
        <f t="shared" si="28"/>
        <v>0</v>
      </c>
      <c r="AL179" s="456" t="s">
        <v>2153</v>
      </c>
      <c r="AM179" s="456"/>
      <c r="AN179" s="475"/>
      <c r="AO179" s="475"/>
      <c r="AP179" s="475"/>
      <c r="AQ179" s="395">
        <f>0.4%+0.04%+0.1%</f>
        <v>0.0054</v>
      </c>
      <c r="AR179" s="447">
        <f t="shared" si="24"/>
        <v>860960</v>
      </c>
      <c r="AS179" s="145">
        <f>100+100+100</f>
        <v>300</v>
      </c>
      <c r="AT179" s="145"/>
      <c r="AU179" s="145"/>
      <c r="AV179" s="145"/>
      <c r="AW179" s="145"/>
      <c r="AX179" s="145"/>
      <c r="AY179" s="223"/>
      <c r="AZ179" s="125"/>
      <c r="BA179" s="145"/>
      <c r="BB179" s="145"/>
      <c r="BC179" s="145">
        <v>860960</v>
      </c>
      <c r="BD179" s="145"/>
      <c r="BE179" s="145"/>
      <c r="BZ179" s="385" t="s">
        <v>260</v>
      </c>
      <c r="CA179" s="385" t="s">
        <v>271</v>
      </c>
      <c r="CB179" s="385" t="s">
        <v>261</v>
      </c>
      <c r="CE179" s="204"/>
    </row>
    <row r="180" s="385" customFormat="1" ht="42" customHeight="1" spans="1:88">
      <c r="A180" s="385">
        <v>113</v>
      </c>
      <c r="C180" s="146">
        <v>45346</v>
      </c>
      <c r="D180" s="524" t="s">
        <v>2154</v>
      </c>
      <c r="F180" s="456" t="s">
        <v>2155</v>
      </c>
      <c r="G180" s="385" t="s">
        <v>2156</v>
      </c>
      <c r="H180" s="1026" t="s">
        <v>2157</v>
      </c>
      <c r="I180" s="441" t="s">
        <v>2158</v>
      </c>
      <c r="J180" s="385">
        <v>107.98</v>
      </c>
      <c r="K180" s="385">
        <v>107.98</v>
      </c>
      <c r="L180" s="385">
        <v>5606.13</v>
      </c>
      <c r="M180" s="464">
        <v>605350</v>
      </c>
      <c r="N180" s="465">
        <v>5556.13</v>
      </c>
      <c r="O180" s="473">
        <v>555366.97</v>
      </c>
      <c r="P180" s="474" t="s">
        <v>2159</v>
      </c>
      <c r="Q180" s="476">
        <v>45608</v>
      </c>
      <c r="R180" s="145"/>
      <c r="S180" s="393"/>
      <c r="T180" s="393"/>
      <c r="U180" s="393" t="s">
        <v>2160</v>
      </c>
      <c r="V180" s="145">
        <v>10000</v>
      </c>
      <c r="W180" s="393" t="s">
        <v>513</v>
      </c>
      <c r="X180" s="145">
        <v>10000</v>
      </c>
      <c r="Y180" s="393" t="s">
        <v>2161</v>
      </c>
      <c r="Z180" s="145">
        <v>100000</v>
      </c>
      <c r="AA180" s="393" t="s">
        <v>456</v>
      </c>
      <c r="AB180" s="145">
        <v>80000</v>
      </c>
      <c r="AC180" s="393" t="s">
        <v>2162</v>
      </c>
      <c r="AD180" s="145">
        <v>200350</v>
      </c>
      <c r="AE180" s="393" t="s">
        <v>2163</v>
      </c>
      <c r="AF180" s="385">
        <v>205000</v>
      </c>
      <c r="AG180" s="385" t="s">
        <v>324</v>
      </c>
      <c r="AH180" s="145">
        <f t="shared" si="27"/>
        <v>605350</v>
      </c>
      <c r="AK180" s="390">
        <f t="shared" si="28"/>
        <v>0</v>
      </c>
      <c r="AL180" s="456" t="s">
        <v>2164</v>
      </c>
      <c r="AM180" s="456"/>
      <c r="AN180" s="467"/>
      <c r="AO180" s="467"/>
      <c r="AP180" s="467"/>
      <c r="AQ180" s="395">
        <f>0.7%+0.02%+0.12%</f>
        <v>0.0084</v>
      </c>
      <c r="AR180" s="447">
        <f t="shared" si="24"/>
        <v>605350</v>
      </c>
      <c r="AS180" s="145"/>
      <c r="AT180" s="145"/>
      <c r="AU180" s="145"/>
      <c r="AV180" s="145"/>
      <c r="AW180" s="145"/>
      <c r="AX180" s="145"/>
      <c r="AY180" s="223"/>
      <c r="BA180" s="145"/>
      <c r="BB180" s="145"/>
      <c r="BC180" s="145"/>
      <c r="BD180" s="145"/>
      <c r="BE180" s="145"/>
      <c r="BH180" s="385">
        <v>400350</v>
      </c>
      <c r="BI180" s="385">
        <v>205000</v>
      </c>
      <c r="BZ180" s="385" t="s">
        <v>260</v>
      </c>
      <c r="CA180" s="385" t="s">
        <v>271</v>
      </c>
      <c r="CB180" s="385" t="s">
        <v>261</v>
      </c>
      <c r="CE180" s="204"/>
    </row>
    <row r="181" s="385" customFormat="1" customHeight="1" spans="1:88">
      <c r="A181" s="385">
        <v>114</v>
      </c>
      <c r="C181" s="146">
        <v>45284</v>
      </c>
      <c r="D181" s="524" t="s">
        <v>2165</v>
      </c>
      <c r="F181" s="456" t="s">
        <v>2155</v>
      </c>
      <c r="G181" s="385" t="s">
        <v>2166</v>
      </c>
      <c r="I181" s="451" t="s">
        <v>2167</v>
      </c>
      <c r="J181" s="385">
        <v>107.62</v>
      </c>
      <c r="K181" s="385">
        <v>107.62</v>
      </c>
      <c r="L181" s="385">
        <f>M181/K181</f>
        <v>5600</v>
      </c>
      <c r="M181" s="464">
        <v>602672</v>
      </c>
      <c r="N181" s="465">
        <v>5549.98</v>
      </c>
      <c r="O181" s="473">
        <v>552910.09</v>
      </c>
      <c r="P181" s="474" t="s">
        <v>2168</v>
      </c>
      <c r="Q181" s="476">
        <v>45608</v>
      </c>
      <c r="R181" s="145"/>
      <c r="S181" s="393"/>
      <c r="T181" s="1036" t="s">
        <v>2169</v>
      </c>
      <c r="U181" s="445" t="s">
        <v>722</v>
      </c>
      <c r="V181" s="145">
        <v>2000</v>
      </c>
      <c r="W181" s="445" t="s">
        <v>473</v>
      </c>
      <c r="X181" s="145">
        <v>96672</v>
      </c>
      <c r="Y181" s="393" t="s">
        <v>685</v>
      </c>
      <c r="Z181" s="145">
        <v>24000</v>
      </c>
      <c r="AA181" s="393" t="s">
        <v>2170</v>
      </c>
      <c r="AB181" s="145">
        <v>480000</v>
      </c>
      <c r="AC181" s="385" t="s">
        <v>457</v>
      </c>
      <c r="AH181" s="145">
        <f t="shared" si="27"/>
        <v>602672</v>
      </c>
      <c r="AK181" s="390">
        <f t="shared" si="28"/>
        <v>0</v>
      </c>
      <c r="AL181" s="456"/>
      <c r="AM181" s="456"/>
      <c r="AN181" s="467"/>
      <c r="AO181" s="467"/>
      <c r="AP181" s="467"/>
      <c r="AQ181" s="395">
        <f>0.4%+0.08%</f>
        <v>0.0048</v>
      </c>
      <c r="AR181" s="447">
        <f t="shared" si="24"/>
        <v>602672</v>
      </c>
      <c r="AS181" s="145"/>
      <c r="AT181" s="145"/>
      <c r="AU181" s="145"/>
      <c r="AV181" s="145"/>
      <c r="AW181" s="145"/>
      <c r="AX181" s="145"/>
      <c r="AY181" s="223"/>
      <c r="BA181" s="145"/>
      <c r="BB181" s="145"/>
      <c r="BC181" s="145"/>
      <c r="BD181" s="145"/>
      <c r="BE181" s="145"/>
      <c r="BK181" s="385">
        <v>602672</v>
      </c>
      <c r="BZ181" s="385" t="s">
        <v>260</v>
      </c>
      <c r="CA181" s="385" t="s">
        <v>271</v>
      </c>
      <c r="CB181" s="385" t="s">
        <v>261</v>
      </c>
      <c r="CE181" s="204"/>
    </row>
    <row r="182" s="385" customFormat="1" customHeight="1" spans="1:88">
      <c r="A182" s="385">
        <v>115</v>
      </c>
      <c r="C182" s="146">
        <v>45105</v>
      </c>
      <c r="D182" s="524" t="s">
        <v>2171</v>
      </c>
      <c r="F182" s="456" t="s">
        <v>2172</v>
      </c>
      <c r="G182" s="385" t="s">
        <v>2173</v>
      </c>
      <c r="H182" s="1026" t="s">
        <v>2174</v>
      </c>
      <c r="I182" s="441" t="s">
        <v>2175</v>
      </c>
      <c r="J182" s="385">
        <v>107.98</v>
      </c>
      <c r="K182" s="385">
        <v>107.98</v>
      </c>
      <c r="L182" s="385">
        <v>5610</v>
      </c>
      <c r="M182" s="464">
        <v>605768</v>
      </c>
      <c r="N182" s="465">
        <v>5608.1</v>
      </c>
      <c r="O182" s="473">
        <v>555750.46</v>
      </c>
      <c r="P182" s="474" t="s">
        <v>2176</v>
      </c>
      <c r="Q182" s="476">
        <v>45608</v>
      </c>
      <c r="R182" s="145"/>
      <c r="S182" s="393"/>
      <c r="T182" s="393"/>
      <c r="U182" s="393" t="s">
        <v>408</v>
      </c>
      <c r="V182" s="145">
        <v>20000</v>
      </c>
      <c r="W182" s="393" t="s">
        <v>1316</v>
      </c>
      <c r="X182" s="145">
        <v>105768</v>
      </c>
      <c r="Y182" s="466" t="s">
        <v>1090</v>
      </c>
      <c r="Z182" s="145">
        <v>480000</v>
      </c>
      <c r="AA182" s="393" t="s">
        <v>1404</v>
      </c>
      <c r="AB182" s="145"/>
      <c r="AH182" s="145">
        <f t="shared" si="27"/>
        <v>605768</v>
      </c>
      <c r="AK182" s="390">
        <f t="shared" si="28"/>
        <v>0</v>
      </c>
      <c r="AL182" s="456" t="s">
        <v>2177</v>
      </c>
      <c r="AM182" s="456"/>
      <c r="AN182" s="467"/>
      <c r="AO182" s="467"/>
      <c r="AP182" s="467"/>
      <c r="AQ182" s="395">
        <f>0.4%+0.02%+0.08%</f>
        <v>0.005</v>
      </c>
      <c r="AR182" s="447">
        <f t="shared" si="24"/>
        <v>605768</v>
      </c>
      <c r="AS182" s="145">
        <f>100</f>
        <v>100</v>
      </c>
      <c r="AT182" s="145"/>
      <c r="AU182" s="145"/>
      <c r="AV182" s="145"/>
      <c r="AW182" s="145"/>
      <c r="AX182" s="145"/>
      <c r="AY182" s="223"/>
      <c r="AZ182" s="125">
        <v>125768</v>
      </c>
      <c r="BA182" s="145"/>
      <c r="BB182" s="145"/>
      <c r="BC182" s="145">
        <v>480000</v>
      </c>
      <c r="BD182" s="145"/>
      <c r="BE182" s="145"/>
      <c r="BZ182" s="385" t="s">
        <v>260</v>
      </c>
      <c r="CA182" s="385" t="s">
        <v>271</v>
      </c>
      <c r="CB182" s="385" t="s">
        <v>261</v>
      </c>
      <c r="CE182" s="204"/>
    </row>
    <row r="183" s="385" customFormat="1" ht="56" customHeight="1" spans="1:88">
      <c r="A183" s="385">
        <v>116</v>
      </c>
      <c r="C183" s="146">
        <v>45299</v>
      </c>
      <c r="D183" s="524" t="s">
        <v>2178</v>
      </c>
      <c r="F183" s="456" t="s">
        <v>2179</v>
      </c>
      <c r="G183" s="142" t="s">
        <v>2180</v>
      </c>
      <c r="H183" s="1031" t="s">
        <v>2181</v>
      </c>
      <c r="I183" s="451" t="s">
        <v>2182</v>
      </c>
      <c r="J183" s="385">
        <v>107.62</v>
      </c>
      <c r="K183" s="385">
        <v>107.62</v>
      </c>
      <c r="L183" s="385">
        <v>5621.6</v>
      </c>
      <c r="M183" s="464">
        <v>605000</v>
      </c>
      <c r="N183" s="465"/>
      <c r="O183" s="473">
        <v>555045.87</v>
      </c>
      <c r="P183" s="474" t="s">
        <v>2183</v>
      </c>
      <c r="Q183" s="476">
        <v>45593</v>
      </c>
      <c r="R183" s="145"/>
      <c r="S183" s="393"/>
      <c r="T183" s="393"/>
      <c r="U183" s="445" t="s">
        <v>2184</v>
      </c>
      <c r="V183" s="145">
        <v>20000</v>
      </c>
      <c r="W183" s="393" t="s">
        <v>2185</v>
      </c>
      <c r="X183" s="145">
        <f>420000+140050+24950</f>
        <v>585000</v>
      </c>
      <c r="Y183" s="393" t="s">
        <v>2186</v>
      </c>
      <c r="Z183" s="145"/>
      <c r="AA183" s="393"/>
      <c r="AB183" s="145"/>
      <c r="AC183" s="393"/>
      <c r="AH183" s="145">
        <f t="shared" si="27"/>
        <v>605000</v>
      </c>
      <c r="AK183" s="390">
        <f t="shared" si="28"/>
        <v>0</v>
      </c>
      <c r="AL183" s="456" t="s">
        <v>2187</v>
      </c>
      <c r="AM183" s="456"/>
      <c r="AN183" s="467"/>
      <c r="AO183" s="467"/>
      <c r="AP183" s="467"/>
      <c r="AQ183" s="526">
        <f>0.5%+0.02%+0.08%</f>
        <v>0.006</v>
      </c>
      <c r="AR183" s="447">
        <f t="shared" si="24"/>
        <v>605000</v>
      </c>
      <c r="AS183" s="145">
        <f>100</f>
        <v>100</v>
      </c>
      <c r="AT183" s="145"/>
      <c r="AU183" s="145"/>
      <c r="AV183" s="145"/>
      <c r="AW183" s="145"/>
      <c r="AX183" s="145"/>
      <c r="AY183" s="223"/>
      <c r="BA183" s="145"/>
      <c r="BB183" s="145"/>
      <c r="BC183" s="145"/>
      <c r="BD183" s="145"/>
      <c r="BE183" s="145"/>
      <c r="BG183" s="385">
        <v>605000</v>
      </c>
      <c r="BZ183" s="385" t="s">
        <v>260</v>
      </c>
      <c r="CA183" s="385" t="s">
        <v>271</v>
      </c>
      <c r="CB183" s="385" t="s">
        <v>261</v>
      </c>
      <c r="CE183" s="204"/>
    </row>
    <row r="184" s="385" customFormat="1" customHeight="1" spans="1:88">
      <c r="A184" s="385">
        <v>117</v>
      </c>
      <c r="C184" s="146">
        <v>45099</v>
      </c>
      <c r="D184" s="524" t="s">
        <v>2188</v>
      </c>
      <c r="F184" s="456" t="s">
        <v>2189</v>
      </c>
      <c r="G184" s="385" t="s">
        <v>2190</v>
      </c>
      <c r="H184" s="1026" t="s">
        <v>2191</v>
      </c>
      <c r="I184" s="441" t="s">
        <v>2192</v>
      </c>
      <c r="J184" s="385">
        <v>107.98</v>
      </c>
      <c r="K184" s="385">
        <v>107.98</v>
      </c>
      <c r="L184" s="385">
        <v>5741.8</v>
      </c>
      <c r="M184" s="464">
        <v>620000</v>
      </c>
      <c r="N184" s="465">
        <v>5669.1</v>
      </c>
      <c r="O184" s="473">
        <v>568807.34</v>
      </c>
      <c r="P184" s="474" t="s">
        <v>2193</v>
      </c>
      <c r="Q184" s="476">
        <v>45608</v>
      </c>
      <c r="R184" s="145"/>
      <c r="S184" s="393"/>
      <c r="T184" s="393"/>
      <c r="U184" s="393" t="s">
        <v>277</v>
      </c>
      <c r="V184" s="145">
        <v>20000</v>
      </c>
      <c r="W184" s="393" t="s">
        <v>946</v>
      </c>
      <c r="X184" s="145">
        <v>100000</v>
      </c>
      <c r="Y184" s="466" t="s">
        <v>2047</v>
      </c>
      <c r="Z184" s="145">
        <v>80000</v>
      </c>
      <c r="AA184" s="385" t="s">
        <v>1439</v>
      </c>
      <c r="AB184" s="145">
        <v>420000</v>
      </c>
      <c r="AC184" s="393" t="s">
        <v>884</v>
      </c>
      <c r="AH184" s="145">
        <f t="shared" si="27"/>
        <v>620000</v>
      </c>
      <c r="AK184" s="390">
        <f t="shared" si="28"/>
        <v>0</v>
      </c>
      <c r="AL184" s="456" t="s">
        <v>2194</v>
      </c>
      <c r="AM184" s="456"/>
      <c r="AN184" s="467"/>
      <c r="AO184" s="467"/>
      <c r="AP184" s="467"/>
      <c r="AQ184" s="395">
        <f>0.6%+0.05%+0.14%</f>
        <v>0.0079</v>
      </c>
      <c r="AR184" s="447">
        <f t="shared" si="24"/>
        <v>620000</v>
      </c>
      <c r="AS184" s="145"/>
      <c r="AT184" s="145">
        <v>100</v>
      </c>
      <c r="AU184" s="145"/>
      <c r="AV184" s="145"/>
      <c r="AW184" s="145"/>
      <c r="AX184" s="145"/>
      <c r="AY184" s="223"/>
      <c r="AZ184" s="125">
        <v>200000</v>
      </c>
      <c r="BA184" s="145"/>
      <c r="BB184" s="145"/>
      <c r="BC184" s="145">
        <v>420000</v>
      </c>
      <c r="BD184" s="145"/>
      <c r="BE184" s="145"/>
      <c r="BZ184" s="385" t="s">
        <v>260</v>
      </c>
      <c r="CA184" s="385" t="s">
        <v>271</v>
      </c>
      <c r="CB184" s="385" t="s">
        <v>261</v>
      </c>
      <c r="CE184" s="204"/>
    </row>
    <row r="185" s="385" customFormat="1" customHeight="1" spans="1:88">
      <c r="A185" s="385">
        <v>118</v>
      </c>
      <c r="C185" s="146">
        <v>45102</v>
      </c>
      <c r="D185" s="524" t="s">
        <v>2195</v>
      </c>
      <c r="F185" s="456" t="s">
        <v>2196</v>
      </c>
      <c r="G185" s="385" t="s">
        <v>2197</v>
      </c>
      <c r="H185" s="1026" t="s">
        <v>2198</v>
      </c>
      <c r="I185" s="441" t="s">
        <v>2199</v>
      </c>
      <c r="J185" s="385">
        <v>107.62</v>
      </c>
      <c r="K185" s="385">
        <v>107.62</v>
      </c>
      <c r="L185" s="385">
        <v>5761.01</v>
      </c>
      <c r="M185" s="464">
        <v>620000</v>
      </c>
      <c r="N185" s="465">
        <v>5662.95</v>
      </c>
      <c r="O185" s="473">
        <v>568807.34</v>
      </c>
      <c r="P185" s="474" t="s">
        <v>2200</v>
      </c>
      <c r="Q185" s="476">
        <v>45608</v>
      </c>
      <c r="R185" s="145"/>
      <c r="S185" s="393"/>
      <c r="T185" s="393"/>
      <c r="U185" s="393" t="s">
        <v>2160</v>
      </c>
      <c r="V185" s="145">
        <v>20000</v>
      </c>
      <c r="W185" s="393" t="s">
        <v>2201</v>
      </c>
      <c r="X185" s="145">
        <v>600000</v>
      </c>
      <c r="Y185" s="466" t="s">
        <v>491</v>
      </c>
      <c r="Z185" s="145"/>
      <c r="AB185" s="145"/>
      <c r="AH185" s="145">
        <f t="shared" si="27"/>
        <v>620000</v>
      </c>
      <c r="AK185" s="390">
        <f t="shared" si="28"/>
        <v>0</v>
      </c>
      <c r="AL185" s="456" t="s">
        <v>2202</v>
      </c>
      <c r="AM185" s="456"/>
      <c r="AN185" s="467"/>
      <c r="AO185" s="467"/>
      <c r="AP185" s="467"/>
      <c r="AQ185" s="395">
        <f>0.4%+0.02%+0.08%</f>
        <v>0.005</v>
      </c>
      <c r="AR185" s="447">
        <f t="shared" si="24"/>
        <v>620000</v>
      </c>
      <c r="AS185" s="145"/>
      <c r="AT185" s="145"/>
      <c r="AU185" s="145"/>
      <c r="AV185" s="145"/>
      <c r="AW185" s="145"/>
      <c r="AX185" s="145"/>
      <c r="AY185" s="223"/>
      <c r="AZ185" s="125">
        <v>620000</v>
      </c>
      <c r="BA185" s="145"/>
      <c r="BB185" s="145"/>
      <c r="BC185" s="145"/>
      <c r="BD185" s="145"/>
      <c r="BE185" s="145"/>
      <c r="BZ185" s="385" t="s">
        <v>260</v>
      </c>
      <c r="CA185" s="385" t="s">
        <v>271</v>
      </c>
      <c r="CB185" s="385" t="s">
        <v>261</v>
      </c>
      <c r="CE185" s="204"/>
    </row>
    <row r="186" s="385" customFormat="1" customHeight="1" spans="1:88">
      <c r="A186" s="385">
        <v>119</v>
      </c>
      <c r="C186" s="146">
        <v>45059</v>
      </c>
      <c r="D186" s="524" t="s">
        <v>2203</v>
      </c>
      <c r="F186" s="456" t="s">
        <v>2204</v>
      </c>
      <c r="G186" s="142" t="s">
        <v>2205</v>
      </c>
      <c r="H186" s="142"/>
      <c r="I186" s="451" t="s">
        <v>2206</v>
      </c>
      <c r="J186" s="385">
        <v>107.98</v>
      </c>
      <c r="K186" s="385">
        <v>107.98</v>
      </c>
      <c r="L186" s="385">
        <v>5463.97</v>
      </c>
      <c r="M186" s="464">
        <v>590000</v>
      </c>
      <c r="N186" s="465"/>
      <c r="O186" s="473">
        <v>541284.4</v>
      </c>
      <c r="P186" s="474" t="s">
        <v>2207</v>
      </c>
      <c r="Q186" s="476">
        <v>45608</v>
      </c>
      <c r="R186" s="145"/>
      <c r="S186" s="445"/>
      <c r="T186" s="445"/>
      <c r="U186" s="445" t="s">
        <v>2208</v>
      </c>
      <c r="V186" s="145">
        <v>20000</v>
      </c>
      <c r="W186" s="445" t="s">
        <v>835</v>
      </c>
      <c r="X186" s="145">
        <v>180000</v>
      </c>
      <c r="Y186" s="466" t="s">
        <v>2209</v>
      </c>
      <c r="Z186" s="145">
        <v>100000</v>
      </c>
      <c r="AA186" s="385" t="s">
        <v>1389</v>
      </c>
      <c r="AB186" s="145">
        <v>290000</v>
      </c>
      <c r="AC186" s="445" t="s">
        <v>2210</v>
      </c>
      <c r="AH186" s="145">
        <f t="shared" si="27"/>
        <v>590000</v>
      </c>
      <c r="AK186" s="390">
        <f t="shared" si="28"/>
        <v>0</v>
      </c>
      <c r="AL186" s="456" t="s">
        <v>2211</v>
      </c>
      <c r="AM186" s="456"/>
      <c r="AN186" s="467"/>
      <c r="AO186" s="467"/>
      <c r="AP186" s="467"/>
      <c r="AQ186" s="395">
        <f>0.6%+0.06%+0.14%</f>
        <v>0.008</v>
      </c>
      <c r="AR186" s="447">
        <f t="shared" si="24"/>
        <v>590000</v>
      </c>
      <c r="AS186" s="145">
        <f>100+100</f>
        <v>200</v>
      </c>
      <c r="AT186" s="145"/>
      <c r="AU186" s="145"/>
      <c r="AV186" s="145"/>
      <c r="AW186" s="145"/>
      <c r="AX186" s="145"/>
      <c r="AY186" s="223">
        <v>300000</v>
      </c>
      <c r="BA186" s="145">
        <v>290000</v>
      </c>
      <c r="BB186" s="145"/>
      <c r="BC186" s="145"/>
      <c r="BD186" s="145"/>
      <c r="BE186" s="145"/>
      <c r="BZ186" s="385" t="s">
        <v>260</v>
      </c>
      <c r="CA186" s="385" t="s">
        <v>271</v>
      </c>
      <c r="CB186" s="385" t="s">
        <v>261</v>
      </c>
      <c r="CE186" s="204"/>
    </row>
    <row r="187" s="385" customFormat="1" customHeight="1" spans="1:88">
      <c r="A187" s="385">
        <v>120</v>
      </c>
      <c r="C187" s="146">
        <v>45072</v>
      </c>
      <c r="D187" s="524" t="s">
        <v>2212</v>
      </c>
      <c r="F187" s="456" t="s">
        <v>2213</v>
      </c>
      <c r="G187" s="142" t="s">
        <v>2214</v>
      </c>
      <c r="H187" s="1031" t="s">
        <v>2215</v>
      </c>
      <c r="I187" s="441" t="s">
        <v>2216</v>
      </c>
      <c r="J187" s="385">
        <v>107.62</v>
      </c>
      <c r="K187" s="385">
        <v>107.62</v>
      </c>
      <c r="L187" s="385">
        <v>5519.63</v>
      </c>
      <c r="M187" s="464">
        <v>594023</v>
      </c>
      <c r="N187" s="465"/>
      <c r="O187" s="473">
        <v>544975.23</v>
      </c>
      <c r="P187" s="474" t="s">
        <v>2217</v>
      </c>
      <c r="Q187" s="476">
        <v>45608</v>
      </c>
      <c r="R187" s="145"/>
      <c r="S187" s="393"/>
      <c r="T187" s="393"/>
      <c r="U187" s="393" t="s">
        <v>370</v>
      </c>
      <c r="V187" s="145">
        <v>20000</v>
      </c>
      <c r="W187" s="146" t="s">
        <v>1673</v>
      </c>
      <c r="X187" s="145">
        <f>568000+6023</f>
        <v>574023</v>
      </c>
      <c r="Y187" s="466" t="s">
        <v>2218</v>
      </c>
      <c r="Z187" s="145"/>
      <c r="AB187" s="145"/>
      <c r="AH187" s="145">
        <f t="shared" si="27"/>
        <v>594023</v>
      </c>
      <c r="AK187" s="390">
        <f t="shared" si="28"/>
        <v>0</v>
      </c>
      <c r="AL187" s="456" t="s">
        <v>2219</v>
      </c>
      <c r="AM187" s="456"/>
      <c r="AN187" s="467"/>
      <c r="AO187" s="467"/>
      <c r="AP187" s="467"/>
      <c r="AQ187" s="395">
        <f>0.6%+0.04%+0.1%</f>
        <v>0.0074</v>
      </c>
      <c r="AR187" s="447">
        <f t="shared" si="24"/>
        <v>594023</v>
      </c>
      <c r="AS187" s="145"/>
      <c r="AT187" s="145">
        <v>100</v>
      </c>
      <c r="AU187" s="145"/>
      <c r="AV187" s="145"/>
      <c r="AW187" s="145"/>
      <c r="AX187" s="145"/>
      <c r="AY187" s="223">
        <v>594023</v>
      </c>
      <c r="BA187" s="145"/>
      <c r="BB187" s="145"/>
      <c r="BC187" s="145"/>
      <c r="BD187" s="145"/>
      <c r="BE187" s="145"/>
      <c r="BZ187" s="385" t="s">
        <v>260</v>
      </c>
      <c r="CA187" s="385" t="s">
        <v>271</v>
      </c>
      <c r="CB187" s="385" t="s">
        <v>261</v>
      </c>
      <c r="CE187" s="204"/>
    </row>
    <row r="188" s="385" customFormat="1" customHeight="1" spans="1:88">
      <c r="A188" s="385">
        <v>121</v>
      </c>
      <c r="C188" s="146">
        <v>45137</v>
      </c>
      <c r="D188" s="524" t="s">
        <v>2220</v>
      </c>
      <c r="F188" s="456" t="s">
        <v>2221</v>
      </c>
      <c r="G188" s="385" t="s">
        <v>2128</v>
      </c>
      <c r="H188" s="1026" t="s">
        <v>2222</v>
      </c>
      <c r="I188" s="451" t="s">
        <v>2223</v>
      </c>
      <c r="J188" s="385">
        <v>107.98</v>
      </c>
      <c r="K188" s="385">
        <v>107.98</v>
      </c>
      <c r="L188" s="385">
        <v>5566.28</v>
      </c>
      <c r="M188" s="464">
        <v>601047</v>
      </c>
      <c r="N188" s="465"/>
      <c r="O188" s="473">
        <v>551419.27</v>
      </c>
      <c r="P188" s="474" t="s">
        <v>2224</v>
      </c>
      <c r="Q188" s="476">
        <v>45608</v>
      </c>
      <c r="R188" s="145"/>
      <c r="S188" s="393"/>
      <c r="T188" s="393" t="s">
        <v>2128</v>
      </c>
      <c r="U188" s="393" t="s">
        <v>408</v>
      </c>
      <c r="V188" s="145">
        <v>20000</v>
      </c>
      <c r="W188" s="146" t="s">
        <v>2225</v>
      </c>
      <c r="X188" s="145">
        <v>131047</v>
      </c>
      <c r="Y188" s="466" t="s">
        <v>635</v>
      </c>
      <c r="Z188" s="145">
        <v>30000</v>
      </c>
      <c r="AA188" s="385" t="s">
        <v>2226</v>
      </c>
      <c r="AB188" s="145">
        <v>420000</v>
      </c>
      <c r="AC188" s="393" t="s">
        <v>826</v>
      </c>
      <c r="AH188" s="145">
        <f t="shared" si="27"/>
        <v>601047</v>
      </c>
      <c r="AK188" s="390">
        <f t="shared" si="28"/>
        <v>0</v>
      </c>
      <c r="AL188" s="456" t="s">
        <v>2227</v>
      </c>
      <c r="AM188" s="456"/>
      <c r="AN188" s="467"/>
      <c r="AO188" s="467"/>
      <c r="AP188" s="467"/>
      <c r="AQ188" s="395">
        <f>0.6%+0.04%+0.1%</f>
        <v>0.0074</v>
      </c>
      <c r="AR188" s="447">
        <f t="shared" si="24"/>
        <v>601047</v>
      </c>
      <c r="AS188" s="145"/>
      <c r="AT188" s="145"/>
      <c r="AU188" s="145"/>
      <c r="AV188" s="145"/>
      <c r="AW188" s="145"/>
      <c r="AX188" s="145"/>
      <c r="AY188" s="223"/>
      <c r="BA188" s="145">
        <v>601047</v>
      </c>
      <c r="BB188" s="145"/>
      <c r="BC188" s="145"/>
      <c r="BD188" s="145"/>
      <c r="BE188" s="145"/>
      <c r="BZ188" s="385" t="s">
        <v>260</v>
      </c>
      <c r="CA188" s="385" t="s">
        <v>271</v>
      </c>
      <c r="CB188" s="385" t="s">
        <v>261</v>
      </c>
      <c r="CE188" s="204"/>
    </row>
    <row r="189" s="385" customFormat="1" customHeight="1" spans="1:88">
      <c r="A189" s="385">
        <v>122</v>
      </c>
      <c r="C189" s="146">
        <v>44962</v>
      </c>
      <c r="D189" s="524" t="s">
        <v>2228</v>
      </c>
      <c r="F189" s="456" t="s">
        <v>2229</v>
      </c>
      <c r="G189" s="142" t="s">
        <v>2230</v>
      </c>
      <c r="H189" s="1031" t="s">
        <v>2231</v>
      </c>
      <c r="I189" s="441" t="s">
        <v>2232</v>
      </c>
      <c r="J189" s="385">
        <v>107.62</v>
      </c>
      <c r="K189" s="385">
        <v>107.62</v>
      </c>
      <c r="L189" s="385">
        <v>5269.38</v>
      </c>
      <c r="M189" s="464">
        <v>567091</v>
      </c>
      <c r="N189" s="465"/>
      <c r="O189" s="473">
        <v>520266.97</v>
      </c>
      <c r="P189" s="474" t="s">
        <v>2233</v>
      </c>
      <c r="Q189" s="476">
        <v>45608</v>
      </c>
      <c r="R189" s="145"/>
      <c r="S189" s="393"/>
      <c r="T189" s="453" t="s">
        <v>2234</v>
      </c>
      <c r="U189" s="445" t="s">
        <v>2235</v>
      </c>
      <c r="V189" s="145">
        <v>177091</v>
      </c>
      <c r="W189" s="466" t="s">
        <v>1265</v>
      </c>
      <c r="X189" s="145">
        <v>390000</v>
      </c>
      <c r="Y189" s="466" t="s">
        <v>2236</v>
      </c>
      <c r="Z189" s="145"/>
      <c r="AB189" s="145"/>
      <c r="AH189" s="145">
        <f t="shared" si="27"/>
        <v>567091</v>
      </c>
      <c r="AK189" s="390">
        <f t="shared" si="28"/>
        <v>0</v>
      </c>
      <c r="AL189" s="456" t="s">
        <v>2237</v>
      </c>
      <c r="AM189" s="456"/>
      <c r="AN189" s="467"/>
      <c r="AO189" s="467"/>
      <c r="AP189" s="467"/>
      <c r="AQ189" s="395">
        <f>0.6%+0.1%</f>
        <v>0.007</v>
      </c>
      <c r="AR189" s="447">
        <f t="shared" si="24"/>
        <v>567091</v>
      </c>
      <c r="AS189" s="145">
        <v>100</v>
      </c>
      <c r="AT189" s="145"/>
      <c r="AU189" s="145"/>
      <c r="AV189" s="145">
        <v>177091</v>
      </c>
      <c r="AW189" s="145"/>
      <c r="AX189" s="145"/>
      <c r="AY189" s="223">
        <v>390000</v>
      </c>
      <c r="BA189" s="145"/>
      <c r="BB189" s="145"/>
      <c r="BC189" s="145"/>
      <c r="BD189" s="145"/>
      <c r="BE189" s="145"/>
      <c r="BZ189" s="385" t="s">
        <v>260</v>
      </c>
      <c r="CA189" s="385" t="s">
        <v>271</v>
      </c>
      <c r="CB189" s="385" t="s">
        <v>261</v>
      </c>
      <c r="CE189" s="204"/>
    </row>
    <row r="190" s="385" customFormat="1" customHeight="1" spans="1:88">
      <c r="A190" s="385">
        <v>123</v>
      </c>
      <c r="C190" s="146">
        <v>45042</v>
      </c>
      <c r="D190" s="524" t="s">
        <v>2238</v>
      </c>
      <c r="F190" s="456" t="s">
        <v>2239</v>
      </c>
      <c r="G190" s="142" t="s">
        <v>2132</v>
      </c>
      <c r="H190" s="1031" t="s">
        <v>2240</v>
      </c>
      <c r="I190" s="451" t="s">
        <v>2241</v>
      </c>
      <c r="J190" s="385">
        <v>107.98</v>
      </c>
      <c r="K190" s="385">
        <v>107.98</v>
      </c>
      <c r="L190" s="385">
        <v>5653.65</v>
      </c>
      <c r="M190" s="464">
        <v>610481</v>
      </c>
      <c r="N190" s="465"/>
      <c r="O190" s="473">
        <v>560074.31</v>
      </c>
      <c r="P190" s="474" t="s">
        <v>2242</v>
      </c>
      <c r="Q190" s="476">
        <v>45608</v>
      </c>
      <c r="R190" s="145"/>
      <c r="S190" s="393"/>
      <c r="T190" s="393"/>
      <c r="U190" s="393" t="s">
        <v>370</v>
      </c>
      <c r="V190" s="145">
        <v>20000</v>
      </c>
      <c r="W190" s="393" t="s">
        <v>1409</v>
      </c>
      <c r="X190" s="145">
        <v>170481</v>
      </c>
      <c r="Y190" s="466" t="s">
        <v>2243</v>
      </c>
      <c r="Z190" s="145">
        <v>420000</v>
      </c>
      <c r="AA190" s="385" t="s">
        <v>1349</v>
      </c>
      <c r="AB190" s="145"/>
      <c r="AH190" s="145">
        <f t="shared" si="27"/>
        <v>610481</v>
      </c>
      <c r="AK190" s="390">
        <f t="shared" si="28"/>
        <v>0</v>
      </c>
      <c r="AL190" s="456" t="s">
        <v>2244</v>
      </c>
      <c r="AM190" s="456"/>
      <c r="AN190" s="467"/>
      <c r="AO190" s="467"/>
      <c r="AP190" s="467"/>
      <c r="AQ190" s="395">
        <f>0.6%+0.04%+0.1%</f>
        <v>0.0074</v>
      </c>
      <c r="AR190" s="447">
        <f t="shared" si="24"/>
        <v>610481</v>
      </c>
      <c r="AS190" s="145">
        <f>100</f>
        <v>100</v>
      </c>
      <c r="AT190" s="145"/>
      <c r="AU190" s="145"/>
      <c r="AV190" s="145"/>
      <c r="AW190" s="145"/>
      <c r="AX190" s="145">
        <v>190481</v>
      </c>
      <c r="AY190" s="223">
        <v>420000</v>
      </c>
      <c r="BA190" s="145"/>
      <c r="BB190" s="145"/>
      <c r="BC190" s="145"/>
      <c r="BD190" s="145"/>
      <c r="BE190" s="145"/>
      <c r="BZ190" s="385" t="s">
        <v>260</v>
      </c>
      <c r="CA190" s="385" t="s">
        <v>271</v>
      </c>
      <c r="CB190" s="385" t="s">
        <v>261</v>
      </c>
      <c r="CE190" s="204"/>
    </row>
    <row r="191" s="385" customFormat="1" customHeight="1" spans="1:88">
      <c r="A191" s="385">
        <v>124</v>
      </c>
      <c r="C191" s="146">
        <v>45096</v>
      </c>
      <c r="D191" s="524" t="s">
        <v>2245</v>
      </c>
      <c r="F191" s="456" t="s">
        <v>2246</v>
      </c>
      <c r="G191" s="468" t="s">
        <v>2102</v>
      </c>
      <c r="H191" s="1030" t="s">
        <v>2247</v>
      </c>
      <c r="I191" s="441" t="s">
        <v>2248</v>
      </c>
      <c r="J191" s="385">
        <v>107.62</v>
      </c>
      <c r="K191" s="385">
        <v>107.62</v>
      </c>
      <c r="L191" s="385">
        <v>5936.5</v>
      </c>
      <c r="M191" s="464">
        <v>638888</v>
      </c>
      <c r="N191" s="465"/>
      <c r="O191" s="473">
        <v>586135.78</v>
      </c>
      <c r="P191" s="474" t="s">
        <v>2249</v>
      </c>
      <c r="Q191" s="476">
        <v>45609</v>
      </c>
      <c r="R191" s="145"/>
      <c r="S191" s="393"/>
      <c r="T191" s="393"/>
      <c r="U191" s="393" t="s">
        <v>370</v>
      </c>
      <c r="V191" s="145">
        <v>20000</v>
      </c>
      <c r="W191" s="466" t="s">
        <v>1439</v>
      </c>
      <c r="X191" s="145">
        <v>3888</v>
      </c>
      <c r="Y191" s="385" t="s">
        <v>976</v>
      </c>
      <c r="Z191" s="145">
        <v>115000</v>
      </c>
      <c r="AA191" s="393" t="s">
        <v>1325</v>
      </c>
      <c r="AB191" s="145">
        <v>500000</v>
      </c>
      <c r="AC191" s="393" t="s">
        <v>1404</v>
      </c>
      <c r="AD191" s="145"/>
      <c r="AE191" s="393"/>
      <c r="AH191" s="145">
        <f t="shared" si="27"/>
        <v>638888</v>
      </c>
      <c r="AK191" s="390">
        <f t="shared" si="28"/>
        <v>0</v>
      </c>
      <c r="AL191" s="456" t="s">
        <v>2250</v>
      </c>
      <c r="AM191" s="456"/>
      <c r="AN191" s="467"/>
      <c r="AO191" s="467"/>
      <c r="AP191" s="467"/>
      <c r="AQ191" s="395">
        <f>0.4%+0.02%+0.08%</f>
        <v>0.005</v>
      </c>
      <c r="AR191" s="447">
        <f t="shared" si="24"/>
        <v>638888</v>
      </c>
      <c r="AS191" s="145"/>
      <c r="AT191" s="145">
        <v>100</v>
      </c>
      <c r="AU191" s="145"/>
      <c r="AV191" s="145"/>
      <c r="AW191" s="145"/>
      <c r="AX191" s="145"/>
      <c r="AY191" s="223"/>
      <c r="AZ191" s="125"/>
      <c r="BA191" s="145">
        <v>138888</v>
      </c>
      <c r="BB191" s="145"/>
      <c r="BC191" s="145">
        <v>500000</v>
      </c>
      <c r="BD191" s="145"/>
      <c r="BE191" s="145"/>
      <c r="BZ191" s="385" t="s">
        <v>260</v>
      </c>
      <c r="CA191" s="385" t="s">
        <v>271</v>
      </c>
      <c r="CB191" s="385" t="s">
        <v>261</v>
      </c>
      <c r="CE191" s="204"/>
    </row>
    <row r="192" s="385" customFormat="1" customHeight="1" spans="1:88">
      <c r="A192" s="385">
        <v>125</v>
      </c>
      <c r="C192" s="146">
        <v>45075</v>
      </c>
      <c r="D192" s="524" t="s">
        <v>2251</v>
      </c>
      <c r="F192" s="456" t="s">
        <v>2252</v>
      </c>
      <c r="G192" s="385" t="s">
        <v>2253</v>
      </c>
      <c r="H192" s="1026" t="s">
        <v>2254</v>
      </c>
      <c r="I192" s="451" t="s">
        <v>2255</v>
      </c>
      <c r="J192" s="385">
        <v>107.98</v>
      </c>
      <c r="K192" s="385">
        <v>107.98</v>
      </c>
      <c r="L192" s="385">
        <v>5640</v>
      </c>
      <c r="M192" s="464">
        <v>609007</v>
      </c>
      <c r="N192" s="465"/>
      <c r="O192" s="473">
        <v>558722.02</v>
      </c>
      <c r="P192" s="474" t="s">
        <v>2256</v>
      </c>
      <c r="Q192" s="476">
        <v>45609</v>
      </c>
      <c r="R192" s="145"/>
      <c r="S192" s="393"/>
      <c r="T192" s="393"/>
      <c r="U192" s="393" t="s">
        <v>267</v>
      </c>
      <c r="V192" s="145">
        <v>20000</v>
      </c>
      <c r="W192" s="393" t="s">
        <v>2257</v>
      </c>
      <c r="X192" s="145"/>
      <c r="Y192" s="466"/>
      <c r="Z192" s="145">
        <v>102007</v>
      </c>
      <c r="AA192" s="385" t="s">
        <v>1473</v>
      </c>
      <c r="AB192" s="145">
        <v>487000</v>
      </c>
      <c r="AC192" s="393" t="s">
        <v>2258</v>
      </c>
      <c r="AH192" s="145">
        <f t="shared" si="27"/>
        <v>609007</v>
      </c>
      <c r="AK192" s="390">
        <f t="shared" si="28"/>
        <v>0</v>
      </c>
      <c r="AL192" s="456" t="s">
        <v>2259</v>
      </c>
      <c r="AM192" s="456"/>
      <c r="AN192" s="467"/>
      <c r="AO192" s="467"/>
      <c r="AP192" s="467"/>
      <c r="AQ192" s="395">
        <f>0.6%+0.14%</f>
        <v>0.0074</v>
      </c>
      <c r="AR192" s="447">
        <f t="shared" si="24"/>
        <v>609007</v>
      </c>
      <c r="AS192" s="145"/>
      <c r="AT192" s="145"/>
      <c r="AU192" s="145"/>
      <c r="AV192" s="145"/>
      <c r="AW192" s="145"/>
      <c r="AX192" s="145"/>
      <c r="AY192" s="223">
        <v>122007</v>
      </c>
      <c r="BA192" s="145"/>
      <c r="BB192" s="145">
        <v>487000</v>
      </c>
      <c r="BC192" s="145"/>
      <c r="BD192" s="145"/>
      <c r="BE192" s="145"/>
      <c r="BZ192" s="385" t="s">
        <v>260</v>
      </c>
      <c r="CA192" s="385" t="s">
        <v>271</v>
      </c>
      <c r="CB192" s="385" t="s">
        <v>261</v>
      </c>
      <c r="CE192" s="204"/>
    </row>
    <row r="193" s="385" customFormat="1" customHeight="1" spans="1:89">
      <c r="A193" s="385">
        <v>126</v>
      </c>
      <c r="C193" s="146">
        <v>45069</v>
      </c>
      <c r="D193" s="524" t="s">
        <v>2260</v>
      </c>
      <c r="F193" s="456" t="s">
        <v>2261</v>
      </c>
      <c r="G193" s="385" t="s">
        <v>2262</v>
      </c>
      <c r="H193" s="1026" t="s">
        <v>2263</v>
      </c>
      <c r="I193" s="441" t="s">
        <v>2264</v>
      </c>
      <c r="J193" s="385">
        <v>107.62</v>
      </c>
      <c r="K193" s="385">
        <v>107.62</v>
      </c>
      <c r="L193" s="385">
        <v>5850</v>
      </c>
      <c r="M193" s="464">
        <f>K193*L193</f>
        <v>629577</v>
      </c>
      <c r="N193" s="465">
        <v>5850</v>
      </c>
      <c r="O193" s="473">
        <v>577593.58</v>
      </c>
      <c r="P193" s="474" t="s">
        <v>2265</v>
      </c>
      <c r="Q193" s="476">
        <v>45609</v>
      </c>
      <c r="R193" s="145"/>
      <c r="S193" s="393"/>
      <c r="T193" s="393"/>
      <c r="U193" s="393" t="s">
        <v>267</v>
      </c>
      <c r="V193" s="145">
        <v>20000</v>
      </c>
      <c r="W193" s="393" t="s">
        <v>2209</v>
      </c>
      <c r="X193" s="145">
        <v>109577</v>
      </c>
      <c r="Y193" s="466" t="s">
        <v>2266</v>
      </c>
      <c r="Z193" s="145">
        <v>500000</v>
      </c>
      <c r="AA193" s="385" t="s">
        <v>1316</v>
      </c>
      <c r="AB193" s="145"/>
      <c r="AH193" s="145">
        <f t="shared" ref="AH193:AH224" si="29">V193+X193+Z193+AB193+AD193+AF193</f>
        <v>629577</v>
      </c>
      <c r="AK193" s="390">
        <f t="shared" si="28"/>
        <v>0</v>
      </c>
      <c r="AL193" s="456" t="s">
        <v>2267</v>
      </c>
      <c r="AM193" s="456"/>
      <c r="AN193" s="467"/>
      <c r="AO193" s="467"/>
      <c r="AP193" s="467"/>
      <c r="AQ193" s="395">
        <f>0.6%+0.14%</f>
        <v>0.0074</v>
      </c>
      <c r="AR193" s="447">
        <f t="shared" si="24"/>
        <v>629577</v>
      </c>
      <c r="AS193" s="145"/>
      <c r="AT193" s="145"/>
      <c r="AU193" s="145"/>
      <c r="AV193" s="145"/>
      <c r="AW193" s="145"/>
      <c r="AX193" s="145"/>
      <c r="AY193" s="223">
        <v>129577</v>
      </c>
      <c r="AZ193" s="125">
        <v>500000</v>
      </c>
      <c r="BA193" s="145"/>
      <c r="BB193" s="145"/>
      <c r="BC193" s="145"/>
      <c r="BD193" s="145"/>
      <c r="BE193" s="145"/>
      <c r="BZ193" s="385" t="s">
        <v>260</v>
      </c>
      <c r="CA193" s="385" t="s">
        <v>271</v>
      </c>
      <c r="CB193" s="385" t="s">
        <v>261</v>
      </c>
      <c r="CE193" s="204"/>
    </row>
    <row r="194" s="385" customFormat="1" customHeight="1" spans="1:89">
      <c r="A194" s="385">
        <v>127</v>
      </c>
      <c r="C194" s="146">
        <v>45114</v>
      </c>
      <c r="D194" s="524" t="s">
        <v>2268</v>
      </c>
      <c r="F194" s="456" t="s">
        <v>2269</v>
      </c>
      <c r="G194" s="142" t="s">
        <v>2270</v>
      </c>
      <c r="H194" s="1026" t="s">
        <v>2271</v>
      </c>
      <c r="I194" s="451" t="s">
        <v>2272</v>
      </c>
      <c r="J194" s="385">
        <v>107.98</v>
      </c>
      <c r="K194" s="385">
        <v>107.98</v>
      </c>
      <c r="L194" s="385">
        <v>5985.13</v>
      </c>
      <c r="M194" s="464">
        <v>646275</v>
      </c>
      <c r="N194" s="465">
        <v>5935.13</v>
      </c>
      <c r="O194" s="473">
        <v>592912.84</v>
      </c>
      <c r="P194" s="474" t="s">
        <v>2273</v>
      </c>
      <c r="Q194" s="476">
        <v>45609</v>
      </c>
      <c r="R194" s="145"/>
      <c r="S194" s="393"/>
      <c r="T194" s="393"/>
      <c r="U194" s="393" t="s">
        <v>380</v>
      </c>
      <c r="V194" s="145">
        <f>20000+101275+15000</f>
        <v>136275</v>
      </c>
      <c r="W194" s="466" t="s">
        <v>2274</v>
      </c>
      <c r="X194" s="145">
        <v>510000</v>
      </c>
      <c r="Y194" s="393" t="s">
        <v>446</v>
      </c>
      <c r="Z194" s="145"/>
      <c r="AA194" s="393"/>
      <c r="AB194" s="145"/>
      <c r="AH194" s="145">
        <f t="shared" si="29"/>
        <v>646275</v>
      </c>
      <c r="AK194" s="390">
        <f t="shared" si="28"/>
        <v>0</v>
      </c>
      <c r="AL194" s="456" t="s">
        <v>2275</v>
      </c>
      <c r="AM194" s="456"/>
      <c r="AN194" s="467"/>
      <c r="AO194" s="467"/>
      <c r="AP194" s="467"/>
      <c r="AQ194" s="395">
        <f>0.6%+0.05%+0.14%</f>
        <v>0.0079</v>
      </c>
      <c r="AR194" s="447">
        <f t="shared" si="24"/>
        <v>646275</v>
      </c>
      <c r="AS194" s="145"/>
      <c r="AT194" s="145">
        <v>100</v>
      </c>
      <c r="AU194" s="145"/>
      <c r="AV194" s="145"/>
      <c r="AW194" s="145"/>
      <c r="AX194" s="145"/>
      <c r="AY194" s="223"/>
      <c r="AZ194" s="125"/>
      <c r="BA194" s="145">
        <v>136275</v>
      </c>
      <c r="BB194" s="145">
        <v>510000</v>
      </c>
      <c r="BC194" s="145"/>
      <c r="BD194" s="145"/>
      <c r="BE194" s="145"/>
      <c r="BZ194" s="385" t="s">
        <v>260</v>
      </c>
      <c r="CA194" s="385" t="s">
        <v>271</v>
      </c>
      <c r="CB194" s="385" t="s">
        <v>261</v>
      </c>
      <c r="CE194" s="204"/>
    </row>
    <row r="195" s="385" customFormat="1" customHeight="1" spans="1:89">
      <c r="A195" s="385">
        <v>128</v>
      </c>
      <c r="C195" s="146">
        <v>45091</v>
      </c>
      <c r="D195" s="524" t="s">
        <v>2276</v>
      </c>
      <c r="F195" s="456" t="s">
        <v>2277</v>
      </c>
      <c r="G195" s="385" t="s">
        <v>2278</v>
      </c>
      <c r="H195" s="1026" t="s">
        <v>2279</v>
      </c>
      <c r="I195" s="441" t="s">
        <v>2280</v>
      </c>
      <c r="J195" s="385">
        <v>107.62</v>
      </c>
      <c r="K195" s="385">
        <v>107.62</v>
      </c>
      <c r="L195" s="385">
        <v>5671.55</v>
      </c>
      <c r="M195" s="464">
        <v>610372</v>
      </c>
      <c r="N195" s="465"/>
      <c r="O195" s="473">
        <v>559974.31</v>
      </c>
      <c r="P195" s="474" t="s">
        <v>2281</v>
      </c>
      <c r="Q195" s="476">
        <v>45609</v>
      </c>
      <c r="R195" s="145"/>
      <c r="S195" s="393"/>
      <c r="T195" s="393"/>
      <c r="U195" s="393" t="s">
        <v>2282</v>
      </c>
      <c r="V195" s="145">
        <v>10000</v>
      </c>
      <c r="W195" s="393" t="s">
        <v>1410</v>
      </c>
      <c r="X195" s="145">
        <v>77372</v>
      </c>
      <c r="Y195" s="466" t="s">
        <v>2283</v>
      </c>
      <c r="Z195" s="145">
        <v>35000</v>
      </c>
      <c r="AA195" s="393" t="s">
        <v>938</v>
      </c>
      <c r="AB195" s="145">
        <v>488000</v>
      </c>
      <c r="AC195" s="393" t="s">
        <v>1404</v>
      </c>
      <c r="AH195" s="145">
        <f t="shared" si="29"/>
        <v>610372</v>
      </c>
      <c r="AK195" s="390">
        <f t="shared" si="28"/>
        <v>0</v>
      </c>
      <c r="AL195" s="456" t="s">
        <v>2284</v>
      </c>
      <c r="AM195" s="456"/>
      <c r="AN195" s="467"/>
      <c r="AO195" s="467"/>
      <c r="AP195" s="467"/>
      <c r="AQ195" s="395">
        <f>0.4%+0.14%</f>
        <v>0.0054</v>
      </c>
      <c r="AR195" s="447">
        <f t="shared" si="24"/>
        <v>610372</v>
      </c>
      <c r="AS195" s="145"/>
      <c r="AT195" s="145"/>
      <c r="AU195" s="145"/>
      <c r="AV195" s="145"/>
      <c r="AW195" s="145"/>
      <c r="AX195" s="145"/>
      <c r="AY195" s="223"/>
      <c r="AZ195" s="125"/>
      <c r="BA195" s="145">
        <v>122372</v>
      </c>
      <c r="BB195" s="145"/>
      <c r="BC195" s="145">
        <v>488000</v>
      </c>
      <c r="BD195" s="145"/>
      <c r="BE195" s="145"/>
      <c r="BZ195" s="385" t="s">
        <v>260</v>
      </c>
      <c r="CA195" s="385" t="s">
        <v>271</v>
      </c>
      <c r="CB195" s="385" t="s">
        <v>261</v>
      </c>
      <c r="CE195" s="204"/>
    </row>
    <row r="196" s="385" customFormat="1" customHeight="1" spans="1:89">
      <c r="A196" s="385">
        <v>129</v>
      </c>
      <c r="C196" s="146">
        <v>45165</v>
      </c>
      <c r="D196" s="524" t="s">
        <v>2285</v>
      </c>
      <c r="F196" s="1027" t="s">
        <v>2286</v>
      </c>
      <c r="G196" s="385" t="s">
        <v>2287</v>
      </c>
      <c r="I196" s="451" t="s">
        <v>2288</v>
      </c>
      <c r="J196" s="385">
        <v>107.98</v>
      </c>
      <c r="K196" s="385">
        <v>107.98</v>
      </c>
      <c r="L196" s="385">
        <v>6019.63</v>
      </c>
      <c r="M196" s="464">
        <v>650000</v>
      </c>
      <c r="N196" s="465">
        <v>5955.8</v>
      </c>
      <c r="O196" s="473">
        <v>596330.28</v>
      </c>
      <c r="P196" s="474" t="s">
        <v>2289</v>
      </c>
      <c r="Q196" s="476">
        <v>45609</v>
      </c>
      <c r="R196" s="145"/>
      <c r="S196" s="393"/>
      <c r="T196" s="393"/>
      <c r="U196" s="393" t="s">
        <v>561</v>
      </c>
      <c r="V196" s="145">
        <v>130000</v>
      </c>
      <c r="W196" s="393" t="s">
        <v>2290</v>
      </c>
      <c r="X196" s="145">
        <v>520000</v>
      </c>
      <c r="Y196" s="393" t="s">
        <v>2291</v>
      </c>
      <c r="Z196" s="145"/>
      <c r="AB196" s="145"/>
      <c r="AH196" s="145">
        <f t="shared" si="29"/>
        <v>650000</v>
      </c>
      <c r="AK196" s="390">
        <f t="shared" si="28"/>
        <v>0</v>
      </c>
      <c r="AL196" s="456" t="s">
        <v>2292</v>
      </c>
      <c r="AM196" s="456"/>
      <c r="AN196" s="467"/>
      <c r="AO196" s="467"/>
      <c r="AP196" s="467"/>
      <c r="AQ196" s="140">
        <f>0.7%+0.05%+0.12%</f>
        <v>0.0087</v>
      </c>
      <c r="AR196" s="447">
        <f t="shared" si="24"/>
        <v>650000</v>
      </c>
      <c r="AS196" s="145"/>
      <c r="AT196" s="145"/>
      <c r="AU196" s="145"/>
      <c r="AV196" s="145"/>
      <c r="AW196" s="145"/>
      <c r="AX196" s="145"/>
      <c r="AY196" s="223"/>
      <c r="BA196" s="145"/>
      <c r="BB196" s="145">
        <v>130000</v>
      </c>
      <c r="BC196" s="145"/>
      <c r="BD196" s="145"/>
      <c r="BE196" s="145">
        <v>520000</v>
      </c>
      <c r="BZ196" s="385" t="s">
        <v>260</v>
      </c>
      <c r="CA196" s="385" t="s">
        <v>271</v>
      </c>
      <c r="CB196" s="385" t="s">
        <v>261</v>
      </c>
      <c r="CE196" s="204"/>
    </row>
    <row r="197" s="385" customFormat="1" customHeight="1" spans="1:89">
      <c r="A197" s="385">
        <v>130</v>
      </c>
      <c r="C197" s="146">
        <v>45065</v>
      </c>
      <c r="D197" s="524" t="s">
        <v>2293</v>
      </c>
      <c r="F197" s="456" t="s">
        <v>2294</v>
      </c>
      <c r="G197" s="385" t="s">
        <v>2295</v>
      </c>
      <c r="H197" s="1026" t="s">
        <v>2296</v>
      </c>
      <c r="I197" s="441" t="s">
        <v>2297</v>
      </c>
      <c r="J197" s="385">
        <v>107.62</v>
      </c>
      <c r="K197" s="385">
        <v>107.62</v>
      </c>
      <c r="L197" s="385">
        <v>5737</v>
      </c>
      <c r="M197" s="464">
        <v>617416</v>
      </c>
      <c r="N197" s="465">
        <v>5655.65</v>
      </c>
      <c r="O197" s="473">
        <v>566436.7</v>
      </c>
      <c r="P197" s="474" t="s">
        <v>2298</v>
      </c>
      <c r="Q197" s="476">
        <v>45609</v>
      </c>
      <c r="R197" s="145"/>
      <c r="S197" s="393"/>
      <c r="T197" s="393"/>
      <c r="U197" s="393" t="s">
        <v>277</v>
      </c>
      <c r="V197" s="145">
        <v>20000</v>
      </c>
      <c r="W197" s="146" t="s">
        <v>846</v>
      </c>
      <c r="X197" s="145">
        <v>197416</v>
      </c>
      <c r="Y197" s="466" t="s">
        <v>2093</v>
      </c>
      <c r="Z197" s="145">
        <v>400000</v>
      </c>
      <c r="AA197" s="385" t="s">
        <v>1653</v>
      </c>
      <c r="AB197" s="145"/>
      <c r="AH197" s="145">
        <f t="shared" si="29"/>
        <v>617416</v>
      </c>
      <c r="AK197" s="390">
        <f t="shared" si="28"/>
        <v>0</v>
      </c>
      <c r="AL197" s="456" t="s">
        <v>2299</v>
      </c>
      <c r="AM197" s="456"/>
      <c r="AN197" s="467"/>
      <c r="AO197" s="467"/>
      <c r="AP197" s="467"/>
      <c r="AQ197" s="395">
        <f>0.6%+0.05%+0.14%</f>
        <v>0.0079</v>
      </c>
      <c r="AR197" s="447">
        <f t="shared" si="24"/>
        <v>617416</v>
      </c>
      <c r="AS197" s="145"/>
      <c r="AT197" s="145">
        <v>100</v>
      </c>
      <c r="AU197" s="145"/>
      <c r="AV197" s="145"/>
      <c r="AW197" s="145"/>
      <c r="AX197" s="145"/>
      <c r="AY197" s="223">
        <v>217416</v>
      </c>
      <c r="AZ197" s="125">
        <v>400000</v>
      </c>
      <c r="BA197" s="145"/>
      <c r="BB197" s="145"/>
      <c r="BC197" s="145"/>
      <c r="BD197" s="145"/>
      <c r="BE197" s="145"/>
      <c r="BZ197" s="385" t="s">
        <v>260</v>
      </c>
      <c r="CA197" s="385" t="s">
        <v>271</v>
      </c>
      <c r="CB197" s="385" t="s">
        <v>261</v>
      </c>
      <c r="CE197" s="204"/>
    </row>
    <row r="198" s="385" customFormat="1" customHeight="1" spans="1:89">
      <c r="A198" s="385">
        <v>131</v>
      </c>
      <c r="C198" s="146">
        <v>45071</v>
      </c>
      <c r="D198" s="524" t="s">
        <v>2300</v>
      </c>
      <c r="F198" s="456" t="s">
        <v>2301</v>
      </c>
      <c r="G198" s="385" t="s">
        <v>2302</v>
      </c>
      <c r="H198" s="1026" t="s">
        <v>2303</v>
      </c>
      <c r="I198" s="441" t="s">
        <v>2304</v>
      </c>
      <c r="J198" s="385">
        <v>107.98</v>
      </c>
      <c r="K198" s="385">
        <v>107.98</v>
      </c>
      <c r="L198" s="385">
        <v>7000</v>
      </c>
      <c r="M198" s="464">
        <v>755860</v>
      </c>
      <c r="N198" s="465">
        <v>6976</v>
      </c>
      <c r="O198" s="473">
        <v>693449.54</v>
      </c>
      <c r="P198" s="474" t="s">
        <v>2305</v>
      </c>
      <c r="Q198" s="476">
        <v>45609</v>
      </c>
      <c r="R198" s="145"/>
      <c r="S198" s="393"/>
      <c r="T198" s="393"/>
      <c r="U198" s="393" t="s">
        <v>408</v>
      </c>
      <c r="V198" s="145">
        <v>20000</v>
      </c>
      <c r="W198" s="393" t="s">
        <v>946</v>
      </c>
      <c r="X198" s="145">
        <v>259860</v>
      </c>
      <c r="Y198" s="466" t="s">
        <v>1898</v>
      </c>
      <c r="Z198" s="145">
        <v>177000</v>
      </c>
      <c r="AA198" s="385" t="s">
        <v>1236</v>
      </c>
      <c r="AB198" s="145">
        <v>299000</v>
      </c>
      <c r="AC198" s="393" t="s">
        <v>2210</v>
      </c>
      <c r="AH198" s="145">
        <f t="shared" si="29"/>
        <v>755860</v>
      </c>
      <c r="AK198" s="390">
        <f t="shared" si="28"/>
        <v>0</v>
      </c>
      <c r="AL198" s="456" t="s">
        <v>2306</v>
      </c>
      <c r="AM198" s="456"/>
      <c r="AN198" s="467"/>
      <c r="AO198" s="467"/>
      <c r="AP198" s="467"/>
      <c r="AQ198" s="395">
        <f>0.6%+0.06%+0.14%</f>
        <v>0.008</v>
      </c>
      <c r="AR198" s="447">
        <f t="shared" ref="AR198:AR261" si="30">SUM(AU198:BU198)</f>
        <v>755860</v>
      </c>
      <c r="AS198" s="145"/>
      <c r="AT198" s="145">
        <v>100</v>
      </c>
      <c r="AU198" s="145"/>
      <c r="AV198" s="145"/>
      <c r="AW198" s="145"/>
      <c r="AX198" s="145"/>
      <c r="AY198" s="223"/>
      <c r="AZ198" s="125">
        <v>456860</v>
      </c>
      <c r="BA198" s="145">
        <v>299000</v>
      </c>
      <c r="BB198" s="145"/>
      <c r="BC198" s="145"/>
      <c r="BD198" s="145"/>
      <c r="BE198" s="145"/>
      <c r="BZ198" s="385" t="s">
        <v>260</v>
      </c>
      <c r="CA198" s="385" t="s">
        <v>271</v>
      </c>
      <c r="CB198" s="385" t="s">
        <v>261</v>
      </c>
      <c r="CE198" s="204"/>
    </row>
    <row r="199" s="385" customFormat="1" customHeight="1" spans="1:89">
      <c r="A199" s="385">
        <v>132</v>
      </c>
      <c r="C199" s="146">
        <v>45204</v>
      </c>
      <c r="D199" s="524" t="s">
        <v>2307</v>
      </c>
      <c r="F199" s="456" t="s">
        <v>2308</v>
      </c>
      <c r="G199" s="385" t="s">
        <v>2309</v>
      </c>
      <c r="H199" s="1026" t="s">
        <v>2310</v>
      </c>
      <c r="I199" s="441" t="s">
        <v>2311</v>
      </c>
      <c r="J199" s="385">
        <v>107.62</v>
      </c>
      <c r="K199" s="385">
        <v>107.62</v>
      </c>
      <c r="L199" s="385">
        <v>7040</v>
      </c>
      <c r="M199" s="464">
        <v>757645</v>
      </c>
      <c r="N199" s="465">
        <v>6976</v>
      </c>
      <c r="O199" s="473">
        <v>695087.16</v>
      </c>
      <c r="P199" s="474" t="s">
        <v>2312</v>
      </c>
      <c r="Q199" s="476">
        <v>45608</v>
      </c>
      <c r="R199" s="145"/>
      <c r="S199" s="393"/>
      <c r="T199" s="393"/>
      <c r="U199" s="393" t="s">
        <v>546</v>
      </c>
      <c r="V199" s="145">
        <v>20000</v>
      </c>
      <c r="W199" s="393" t="s">
        <v>2274</v>
      </c>
      <c r="X199" s="145">
        <v>180645</v>
      </c>
      <c r="Y199" s="393" t="s">
        <v>884</v>
      </c>
      <c r="Z199" s="145">
        <v>557000</v>
      </c>
      <c r="AA199" s="393" t="s">
        <v>2313</v>
      </c>
      <c r="AB199" s="145"/>
      <c r="AH199" s="145">
        <f t="shared" si="29"/>
        <v>757645</v>
      </c>
      <c r="AK199" s="390">
        <f t="shared" si="28"/>
        <v>0</v>
      </c>
      <c r="AL199" s="456" t="s">
        <v>2314</v>
      </c>
      <c r="AM199" s="456"/>
      <c r="AN199" s="467"/>
      <c r="AO199" s="467"/>
      <c r="AP199" s="467"/>
      <c r="AQ199" s="395">
        <f>0.7%+0.14%</f>
        <v>0.0084</v>
      </c>
      <c r="AR199" s="447">
        <f t="shared" si="30"/>
        <v>757645</v>
      </c>
      <c r="AS199" s="145"/>
      <c r="AT199" s="145"/>
      <c r="AU199" s="145"/>
      <c r="AV199" s="145"/>
      <c r="AW199" s="145"/>
      <c r="AX199" s="145"/>
      <c r="AY199" s="223"/>
      <c r="BA199" s="145"/>
      <c r="BB199" s="145"/>
      <c r="BC199" s="145"/>
      <c r="BD199" s="145">
        <v>200645</v>
      </c>
      <c r="BE199" s="145">
        <v>557000</v>
      </c>
      <c r="BZ199" s="385" t="s">
        <v>260</v>
      </c>
      <c r="CA199" s="385" t="s">
        <v>271</v>
      </c>
      <c r="CB199" s="385" t="s">
        <v>261</v>
      </c>
      <c r="CE199" s="204"/>
    </row>
    <row r="200" s="385" customFormat="1" customHeight="1" spans="1:89">
      <c r="A200" s="385">
        <v>133</v>
      </c>
      <c r="C200" s="146">
        <v>45081</v>
      </c>
      <c r="D200" s="524" t="s">
        <v>2315</v>
      </c>
      <c r="F200" s="1026" t="s">
        <v>2316</v>
      </c>
      <c r="G200" s="448" t="s">
        <v>2317</v>
      </c>
      <c r="I200" s="451" t="s">
        <v>2318</v>
      </c>
      <c r="J200" s="385">
        <v>107.62</v>
      </c>
      <c r="K200" s="385">
        <v>107.62</v>
      </c>
      <c r="L200" s="385">
        <v>8173.5</v>
      </c>
      <c r="M200" s="464">
        <v>878000</v>
      </c>
      <c r="N200" s="465">
        <v>8140</v>
      </c>
      <c r="O200" s="473">
        <v>805504.59</v>
      </c>
      <c r="P200" s="474" t="s">
        <v>2319</v>
      </c>
      <c r="Q200" s="476">
        <v>45585</v>
      </c>
      <c r="R200" s="145"/>
      <c r="S200" s="393"/>
      <c r="T200" s="393"/>
      <c r="U200" s="393" t="s">
        <v>561</v>
      </c>
      <c r="V200" s="145">
        <v>20000</v>
      </c>
      <c r="W200" s="393" t="s">
        <v>1634</v>
      </c>
      <c r="X200" s="145">
        <v>27000</v>
      </c>
      <c r="Y200" s="146" t="s">
        <v>2320</v>
      </c>
      <c r="Z200" s="145">
        <f>47000-47000</f>
        <v>0</v>
      </c>
      <c r="AA200" s="393"/>
      <c r="AB200" s="145">
        <v>131000</v>
      </c>
      <c r="AC200" s="393" t="s">
        <v>2321</v>
      </c>
      <c r="AD200" s="145">
        <v>700000</v>
      </c>
      <c r="AE200" s="393" t="s">
        <v>534</v>
      </c>
      <c r="AH200" s="145">
        <f t="shared" si="29"/>
        <v>878000</v>
      </c>
      <c r="AK200" s="390">
        <f t="shared" si="28"/>
        <v>0</v>
      </c>
      <c r="AL200" s="456" t="s">
        <v>2322</v>
      </c>
      <c r="AM200" s="456"/>
      <c r="AN200" s="467"/>
      <c r="AO200" s="467"/>
      <c r="AP200" s="467"/>
      <c r="AQ200" s="395">
        <f>0.4%+0.02%+0.08%</f>
        <v>0.005</v>
      </c>
      <c r="AR200" s="447">
        <f t="shared" si="30"/>
        <v>878000</v>
      </c>
      <c r="AS200" s="145">
        <v>100</v>
      </c>
      <c r="AT200" s="145"/>
      <c r="AU200" s="145"/>
      <c r="AV200" s="145"/>
      <c r="AW200" s="145"/>
      <c r="AX200" s="145"/>
      <c r="AY200" s="223"/>
      <c r="BA200" s="145"/>
      <c r="BB200" s="145"/>
      <c r="BC200" s="145"/>
      <c r="BD200" s="145"/>
      <c r="BE200" s="145">
        <v>178000</v>
      </c>
      <c r="BF200" s="385">
        <v>700000</v>
      </c>
      <c r="BZ200" s="385" t="s">
        <v>260</v>
      </c>
      <c r="CA200" s="385" t="s">
        <v>271</v>
      </c>
      <c r="CB200" s="385" t="s">
        <v>261</v>
      </c>
      <c r="CE200" s="204"/>
    </row>
    <row r="201" s="385" customFormat="1" customHeight="1" spans="1:89">
      <c r="A201" s="385">
        <v>134</v>
      </c>
      <c r="B201" s="385"/>
      <c r="C201" s="146">
        <v>45649</v>
      </c>
      <c r="D201" s="524" t="s">
        <v>2323</v>
      </c>
      <c r="E201" s="385" t="s">
        <v>2324</v>
      </c>
      <c r="F201" s="456"/>
      <c r="G201" s="385" t="s">
        <v>2325</v>
      </c>
      <c r="H201" s="385"/>
      <c r="I201" s="441" t="s">
        <v>2326</v>
      </c>
      <c r="J201" s="385">
        <v>107.42</v>
      </c>
      <c r="K201" s="385">
        <v>107.42</v>
      </c>
      <c r="L201" s="385">
        <v>8031</v>
      </c>
      <c r="M201" s="464">
        <v>862690</v>
      </c>
      <c r="N201" s="385">
        <v>8650</v>
      </c>
      <c r="O201" s="473">
        <v>791458.72</v>
      </c>
      <c r="P201" s="474" t="s">
        <v>2327</v>
      </c>
      <c r="Q201" s="392">
        <v>45652</v>
      </c>
      <c r="R201" s="145"/>
      <c r="S201" s="393"/>
      <c r="T201" s="393"/>
      <c r="U201" s="393"/>
      <c r="V201" s="145">
        <v>532690</v>
      </c>
      <c r="W201" s="393" t="s">
        <v>790</v>
      </c>
      <c r="X201" s="145">
        <v>330000</v>
      </c>
      <c r="Y201" s="466" t="s">
        <v>790</v>
      </c>
      <c r="Z201" s="145"/>
      <c r="AB201" s="145"/>
      <c r="AH201" s="145">
        <f t="shared" si="29"/>
        <v>862690</v>
      </c>
      <c r="AK201" s="390">
        <f t="shared" si="28"/>
        <v>0</v>
      </c>
      <c r="AL201" s="456"/>
      <c r="AM201" s="456"/>
      <c r="AN201" s="467"/>
      <c r="AO201" s="467"/>
      <c r="AP201" s="467"/>
      <c r="AQ201" s="395"/>
      <c r="AR201" s="447">
        <f t="shared" si="30"/>
        <v>0</v>
      </c>
      <c r="AS201" s="145">
        <v>100</v>
      </c>
      <c r="AT201" s="145"/>
      <c r="AU201" s="145"/>
      <c r="AV201" s="145"/>
      <c r="AW201" s="145"/>
      <c r="AX201" s="145"/>
      <c r="AY201" s="223"/>
      <c r="BA201" s="145"/>
      <c r="BB201" s="145"/>
      <c r="BC201" s="145"/>
      <c r="BD201" s="145"/>
      <c r="BE201" s="145"/>
      <c r="BZ201" s="385" t="s">
        <v>260</v>
      </c>
      <c r="CA201" s="142" t="s">
        <v>2328</v>
      </c>
      <c r="CB201" s="385" t="s">
        <v>261</v>
      </c>
      <c r="CC201" s="385" t="s">
        <v>261</v>
      </c>
      <c r="CE201" s="204"/>
    </row>
    <row r="202" s="386" customFormat="1" customHeight="1" spans="1:89">
      <c r="A202" s="385">
        <v>135</v>
      </c>
      <c r="B202" s="385"/>
      <c r="C202" s="146">
        <v>46091</v>
      </c>
      <c r="D202" s="524" t="s">
        <v>2329</v>
      </c>
      <c r="E202" s="385" t="s">
        <v>2330</v>
      </c>
      <c r="F202" s="456" t="s">
        <v>2331</v>
      </c>
      <c r="G202" s="385" t="s">
        <v>2332</v>
      </c>
      <c r="H202" s="429"/>
      <c r="I202" s="451" t="s">
        <v>2333</v>
      </c>
      <c r="J202" s="385">
        <v>107.62</v>
      </c>
      <c r="K202" s="385">
        <v>107.62</v>
      </c>
      <c r="L202" s="385">
        <v>4924.74</v>
      </c>
      <c r="M202" s="464">
        <v>530000</v>
      </c>
      <c r="N202" s="385">
        <v>5896.54</v>
      </c>
      <c r="O202" s="473">
        <v>486238.53</v>
      </c>
      <c r="P202" s="474" t="s">
        <v>2334</v>
      </c>
      <c r="Q202" s="474" t="s">
        <v>2335</v>
      </c>
      <c r="R202" s="145">
        <f>167000+63000</f>
        <v>230000</v>
      </c>
      <c r="S202" s="445" t="s">
        <v>2336</v>
      </c>
      <c r="T202" s="445"/>
      <c r="U202" s="445"/>
      <c r="V202" s="145">
        <v>167000</v>
      </c>
      <c r="W202" s="445">
        <v>46091</v>
      </c>
      <c r="X202" s="145">
        <v>63000</v>
      </c>
      <c r="Y202" s="445">
        <v>46100</v>
      </c>
      <c r="Z202" s="145"/>
      <c r="AA202" s="385"/>
      <c r="AB202" s="145"/>
      <c r="AC202" s="385"/>
      <c r="AD202" s="385"/>
      <c r="AE202" s="385"/>
      <c r="AF202" s="385"/>
      <c r="AG202" s="385"/>
      <c r="AH202" s="145">
        <f t="shared" si="29"/>
        <v>230000</v>
      </c>
      <c r="AI202" s="385"/>
      <c r="AJ202" s="385"/>
      <c r="AK202" s="390">
        <f t="shared" si="28"/>
        <v>300000</v>
      </c>
      <c r="AL202" s="456"/>
      <c r="AM202" s="456"/>
      <c r="AN202" s="467"/>
      <c r="AO202" s="467"/>
      <c r="AP202" s="467"/>
      <c r="AQ202" s="395"/>
      <c r="AR202" s="447">
        <f t="shared" si="30"/>
        <v>0</v>
      </c>
      <c r="AS202" s="145"/>
      <c r="AT202" s="145">
        <f>100+100</f>
        <v>200</v>
      </c>
      <c r="AU202" s="145"/>
      <c r="AV202" s="145"/>
      <c r="AW202" s="145"/>
      <c r="AX202" s="145"/>
      <c r="AY202" s="223"/>
      <c r="AZ202" s="385"/>
      <c r="BA202" s="145"/>
      <c r="BB202" s="145"/>
      <c r="BC202" s="145"/>
      <c r="BD202" s="145"/>
      <c r="BE202" s="145"/>
      <c r="BF202" s="385"/>
      <c r="BG202" s="385"/>
      <c r="BH202" s="385"/>
      <c r="BI202" s="385"/>
      <c r="BJ202" s="385"/>
      <c r="BK202" s="385"/>
      <c r="BL202" s="385"/>
      <c r="BM202" s="385"/>
      <c r="BN202" s="385"/>
      <c r="BO202" s="385"/>
      <c r="BP202" s="385"/>
      <c r="BQ202" s="385"/>
      <c r="BR202" s="385"/>
      <c r="BS202" s="385"/>
      <c r="BT202" s="385"/>
      <c r="BU202" s="385"/>
      <c r="BV202" s="385"/>
      <c r="BW202" s="385"/>
      <c r="BX202" s="385"/>
      <c r="BY202" s="385"/>
      <c r="BZ202" s="385" t="s">
        <v>260</v>
      </c>
      <c r="CA202" s="385"/>
      <c r="CB202" s="385" t="s">
        <v>2337</v>
      </c>
      <c r="CC202" s="385"/>
      <c r="CD202" s="385"/>
      <c r="CE202" s="385"/>
      <c r="CF202" s="385"/>
      <c r="CG202" s="385"/>
      <c r="CH202" s="385"/>
      <c r="CI202" s="385"/>
      <c r="CJ202" s="385"/>
      <c r="CK202" s="385"/>
    </row>
    <row r="203" s="386" customFormat="1" customHeight="1" spans="1:89">
      <c r="A203" s="505">
        <v>136</v>
      </c>
      <c r="B203" s="204"/>
      <c r="C203" s="204"/>
      <c r="D203" s="478"/>
      <c r="E203" s="204" t="s">
        <v>2338</v>
      </c>
      <c r="F203" s="479"/>
      <c r="G203" s="527"/>
      <c r="H203" s="429"/>
      <c r="I203" s="528" t="s">
        <v>2339</v>
      </c>
      <c r="J203" s="204">
        <v>107.62</v>
      </c>
      <c r="K203" s="204"/>
      <c r="L203" s="204"/>
      <c r="M203" s="492"/>
      <c r="N203" s="204">
        <v>5889.94</v>
      </c>
      <c r="O203" s="482"/>
      <c r="P203" s="483"/>
      <c r="Q203" s="483"/>
      <c r="R203" s="431"/>
      <c r="S203" s="434"/>
      <c r="T203" s="434"/>
      <c r="U203" s="434"/>
      <c r="V203" s="510"/>
      <c r="W203" s="484"/>
      <c r="X203" s="510"/>
      <c r="Y203" s="529"/>
      <c r="Z203" s="510"/>
      <c r="AB203" s="510"/>
      <c r="AH203" s="145">
        <f t="shared" si="29"/>
        <v>0</v>
      </c>
      <c r="AI203" s="204"/>
      <c r="AJ203" s="204"/>
      <c r="AK203" s="432">
        <f t="shared" si="28"/>
        <v>0</v>
      </c>
      <c r="AL203" s="479"/>
      <c r="AM203" s="479"/>
      <c r="AN203" s="530"/>
      <c r="AO203" s="530"/>
      <c r="AP203" s="530"/>
      <c r="AQ203" s="509"/>
      <c r="AR203" s="438">
        <f t="shared" si="30"/>
        <v>0</v>
      </c>
      <c r="AS203" s="510"/>
      <c r="AT203" s="510">
        <v>100</v>
      </c>
      <c r="AU203" s="510"/>
      <c r="AV203" s="510"/>
      <c r="AW203" s="510"/>
      <c r="AX203" s="510"/>
      <c r="AY203" s="531"/>
      <c r="BA203" s="510"/>
      <c r="BB203" s="510"/>
      <c r="BC203" s="510"/>
      <c r="BD203" s="510"/>
      <c r="BE203" s="510"/>
      <c r="CE203" s="204"/>
    </row>
    <row r="204" s="385" customFormat="1" customHeight="1" spans="1:89">
      <c r="A204" s="385">
        <v>137</v>
      </c>
      <c r="C204" s="146">
        <v>45017</v>
      </c>
      <c r="D204" s="524" t="s">
        <v>2340</v>
      </c>
      <c r="F204" s="456" t="s">
        <v>2341</v>
      </c>
      <c r="G204" s="142" t="s">
        <v>2342</v>
      </c>
      <c r="H204" s="1031" t="s">
        <v>2343</v>
      </c>
      <c r="I204" s="451" t="s">
        <v>2344</v>
      </c>
      <c r="J204" s="385">
        <v>107.62</v>
      </c>
      <c r="K204" s="385">
        <v>107.62</v>
      </c>
      <c r="L204" s="385">
        <v>5342.87</v>
      </c>
      <c r="M204" s="464">
        <v>575000</v>
      </c>
      <c r="N204" s="465"/>
      <c r="O204" s="473">
        <v>527522.94</v>
      </c>
      <c r="P204" s="474" t="s">
        <v>2345</v>
      </c>
      <c r="Q204" s="476">
        <v>45585</v>
      </c>
      <c r="R204" s="145"/>
      <c r="S204" s="393"/>
      <c r="T204" s="393"/>
      <c r="U204" s="393" t="s">
        <v>380</v>
      </c>
      <c r="V204" s="145">
        <v>20000</v>
      </c>
      <c r="W204" s="146" t="s">
        <v>1970</v>
      </c>
      <c r="X204" s="145">
        <v>355000</v>
      </c>
      <c r="Y204" s="466" t="s">
        <v>2346</v>
      </c>
      <c r="Z204" s="145">
        <v>200000</v>
      </c>
      <c r="AA204" s="385" t="s">
        <v>490</v>
      </c>
      <c r="AB204" s="145"/>
      <c r="AH204" s="145">
        <f t="shared" si="29"/>
        <v>575000</v>
      </c>
      <c r="AK204" s="390">
        <f t="shared" si="28"/>
        <v>0</v>
      </c>
      <c r="AL204" s="456" t="s">
        <v>2347</v>
      </c>
      <c r="AM204" s="456"/>
      <c r="AN204" s="467"/>
      <c r="AO204" s="467"/>
      <c r="AP204" s="467"/>
      <c r="AQ204" s="395">
        <f>0.6%+0.04%+0.1%</f>
        <v>0.0074</v>
      </c>
      <c r="AR204" s="447">
        <f t="shared" si="30"/>
        <v>575000</v>
      </c>
      <c r="AS204" s="145"/>
      <c r="AT204" s="145"/>
      <c r="AU204" s="145"/>
      <c r="AV204" s="145"/>
      <c r="AW204" s="145"/>
      <c r="AX204" s="145"/>
      <c r="AY204" s="223">
        <v>575000</v>
      </c>
      <c r="BA204" s="145"/>
      <c r="BB204" s="145"/>
      <c r="BC204" s="145"/>
      <c r="BD204" s="145"/>
      <c r="BE204" s="145"/>
      <c r="BZ204" s="385" t="s">
        <v>260</v>
      </c>
      <c r="CA204" s="385" t="s">
        <v>271</v>
      </c>
      <c r="CB204" s="385" t="s">
        <v>261</v>
      </c>
      <c r="CE204" s="204"/>
    </row>
    <row r="205" s="385" customFormat="1" customHeight="1" spans="1:89">
      <c r="A205" s="385">
        <v>138</v>
      </c>
      <c r="C205" s="146">
        <v>45151</v>
      </c>
      <c r="D205" s="524" t="s">
        <v>2348</v>
      </c>
      <c r="F205" s="456" t="s">
        <v>2349</v>
      </c>
      <c r="G205" s="385" t="s">
        <v>2350</v>
      </c>
      <c r="H205" s="1026" t="s">
        <v>2351</v>
      </c>
      <c r="I205" s="441" t="s">
        <v>2352</v>
      </c>
      <c r="J205" s="385">
        <v>107.62</v>
      </c>
      <c r="K205" s="385">
        <v>107.62</v>
      </c>
      <c r="L205" s="385">
        <v>5600</v>
      </c>
      <c r="M205" s="464">
        <v>602672</v>
      </c>
      <c r="N205" s="465">
        <v>5588.51</v>
      </c>
      <c r="O205" s="473">
        <v>552910.09</v>
      </c>
      <c r="P205" s="474" t="s">
        <v>2353</v>
      </c>
      <c r="Q205" s="476">
        <v>45585</v>
      </c>
      <c r="R205" s="145"/>
      <c r="S205" s="393"/>
      <c r="T205" s="393"/>
      <c r="U205" s="393" t="s">
        <v>546</v>
      </c>
      <c r="V205" s="145">
        <v>20000</v>
      </c>
      <c r="W205" s="393" t="s">
        <v>2354</v>
      </c>
      <c r="X205" s="145">
        <v>382672</v>
      </c>
      <c r="Y205" s="393" t="s">
        <v>1411</v>
      </c>
      <c r="Z205" s="145">
        <v>200000</v>
      </c>
      <c r="AA205" s="393" t="s">
        <v>314</v>
      </c>
      <c r="AB205" s="145"/>
      <c r="AH205" s="145">
        <f t="shared" si="29"/>
        <v>602672</v>
      </c>
      <c r="AK205" s="390">
        <f t="shared" si="28"/>
        <v>0</v>
      </c>
      <c r="AL205" s="456" t="s">
        <v>2355</v>
      </c>
      <c r="AM205" s="456"/>
      <c r="AN205" s="467"/>
      <c r="AO205" s="467"/>
      <c r="AP205" s="467"/>
      <c r="AQ205" s="395">
        <f>0.7%+0.14%</f>
        <v>0.0084</v>
      </c>
      <c r="AR205" s="447">
        <f t="shared" si="30"/>
        <v>602672</v>
      </c>
      <c r="AS205" s="145"/>
      <c r="AT205" s="145">
        <v>100</v>
      </c>
      <c r="AU205" s="145"/>
      <c r="AV205" s="145"/>
      <c r="AW205" s="145"/>
      <c r="AX205" s="145"/>
      <c r="AY205" s="223"/>
      <c r="BA205" s="145"/>
      <c r="BB205" s="145"/>
      <c r="BC205" s="145"/>
      <c r="BD205" s="145">
        <v>602672</v>
      </c>
      <c r="BE205" s="145"/>
      <c r="BZ205" s="385" t="s">
        <v>260</v>
      </c>
      <c r="CA205" s="385" t="s">
        <v>271</v>
      </c>
      <c r="CB205" s="385" t="s">
        <v>261</v>
      </c>
      <c r="CE205" s="204"/>
    </row>
    <row r="206" s="385" customFormat="1" customHeight="1" spans="1:89">
      <c r="A206" s="385">
        <v>139</v>
      </c>
      <c r="C206" s="146">
        <v>45055</v>
      </c>
      <c r="D206" s="524" t="s">
        <v>2356</v>
      </c>
      <c r="F206" s="456" t="s">
        <v>2357</v>
      </c>
      <c r="G206" s="385" t="s">
        <v>2358</v>
      </c>
      <c r="H206" s="1026" t="s">
        <v>2359</v>
      </c>
      <c r="I206" s="451" t="s">
        <v>2360</v>
      </c>
      <c r="J206" s="385">
        <v>107.62</v>
      </c>
      <c r="K206" s="385">
        <v>107.62</v>
      </c>
      <c r="L206" s="385">
        <v>5407.9</v>
      </c>
      <c r="M206" s="464">
        <v>582000</v>
      </c>
      <c r="N206" s="465"/>
      <c r="O206" s="473">
        <v>533944.95</v>
      </c>
      <c r="P206" s="474" t="s">
        <v>2361</v>
      </c>
      <c r="Q206" s="476">
        <v>45585</v>
      </c>
      <c r="R206" s="145"/>
      <c r="S206" s="393"/>
      <c r="T206" s="393"/>
      <c r="U206" s="393" t="s">
        <v>380</v>
      </c>
      <c r="V206" s="145">
        <v>20000</v>
      </c>
      <c r="W206" s="393" t="s">
        <v>1409</v>
      </c>
      <c r="X206" s="145">
        <v>172000</v>
      </c>
      <c r="Y206" s="466" t="s">
        <v>2362</v>
      </c>
      <c r="Z206" s="145">
        <v>190000</v>
      </c>
      <c r="AA206" s="385" t="s">
        <v>1349</v>
      </c>
      <c r="AB206" s="145">
        <v>200000</v>
      </c>
      <c r="AC206" s="385" t="s">
        <v>1653</v>
      </c>
      <c r="AH206" s="145">
        <f t="shared" si="29"/>
        <v>582000</v>
      </c>
      <c r="AK206" s="390">
        <f t="shared" si="28"/>
        <v>0</v>
      </c>
      <c r="AL206" s="456"/>
      <c r="AM206" s="456"/>
      <c r="AN206" s="467"/>
      <c r="AO206" s="467"/>
      <c r="AP206" s="467"/>
      <c r="AQ206" s="395">
        <f>0.6%+0.04%+0.1%</f>
        <v>0.0074</v>
      </c>
      <c r="AR206" s="447">
        <f t="shared" si="30"/>
        <v>582000</v>
      </c>
      <c r="AS206" s="145"/>
      <c r="AT206" s="145"/>
      <c r="AU206" s="145"/>
      <c r="AV206" s="145"/>
      <c r="AW206" s="145"/>
      <c r="AX206" s="145"/>
      <c r="AY206" s="223">
        <v>382000</v>
      </c>
      <c r="AZ206" s="125">
        <v>200000</v>
      </c>
      <c r="BA206" s="145"/>
      <c r="BB206" s="145"/>
      <c r="BC206" s="145"/>
      <c r="BD206" s="145"/>
      <c r="BE206" s="145"/>
      <c r="BZ206" s="385" t="s">
        <v>260</v>
      </c>
      <c r="CA206" s="385" t="s">
        <v>271</v>
      </c>
      <c r="CB206" s="385" t="s">
        <v>261</v>
      </c>
      <c r="CE206" s="204"/>
    </row>
    <row r="207" s="385" customFormat="1" customHeight="1" spans="1:89">
      <c r="A207" s="385">
        <v>140</v>
      </c>
      <c r="C207" s="146">
        <v>45047</v>
      </c>
      <c r="D207" s="524" t="s">
        <v>2363</v>
      </c>
      <c r="F207" s="456" t="s">
        <v>2364</v>
      </c>
      <c r="G207" s="385" t="s">
        <v>2365</v>
      </c>
      <c r="H207" s="1026" t="s">
        <v>2366</v>
      </c>
      <c r="I207" s="441" t="s">
        <v>2367</v>
      </c>
      <c r="J207" s="385">
        <v>107.62</v>
      </c>
      <c r="K207" s="385">
        <v>107.62</v>
      </c>
      <c r="L207" s="385">
        <v>5407.9</v>
      </c>
      <c r="M207" s="464">
        <v>582000</v>
      </c>
      <c r="N207" s="465"/>
      <c r="O207" s="473">
        <v>533944.95</v>
      </c>
      <c r="P207" s="474" t="s">
        <v>2368</v>
      </c>
      <c r="Q207" s="476">
        <v>45585</v>
      </c>
      <c r="R207" s="145"/>
      <c r="S207" s="393"/>
      <c r="T207" s="394"/>
      <c r="U207" s="393" t="s">
        <v>380</v>
      </c>
      <c r="V207" s="145">
        <v>20000</v>
      </c>
      <c r="W207" s="393" t="s">
        <v>1409</v>
      </c>
      <c r="X207" s="145">
        <v>382000</v>
      </c>
      <c r="Y207" s="393" t="s">
        <v>512</v>
      </c>
      <c r="Z207" s="145">
        <v>180000</v>
      </c>
      <c r="AA207" s="393" t="s">
        <v>1863</v>
      </c>
      <c r="AD207" s="145"/>
      <c r="AG207" s="446"/>
      <c r="AH207" s="145">
        <f t="shared" si="29"/>
        <v>582000</v>
      </c>
      <c r="AI207" s="456"/>
      <c r="AJ207" s="467"/>
      <c r="AK207" s="390">
        <f t="shared" si="28"/>
        <v>0</v>
      </c>
      <c r="AQ207" s="395">
        <f>0.6%+0.04%+0.1%</f>
        <v>0.0074</v>
      </c>
      <c r="AR207" s="447">
        <f t="shared" si="30"/>
        <v>582000</v>
      </c>
      <c r="AS207" s="145"/>
      <c r="AT207" s="145"/>
      <c r="AU207" s="145"/>
      <c r="AV207" s="145"/>
      <c r="AW207" s="145"/>
      <c r="AX207" s="145"/>
      <c r="AY207" s="223"/>
      <c r="BA207" s="145">
        <v>402000</v>
      </c>
      <c r="BB207" s="145"/>
      <c r="BC207" s="145"/>
      <c r="BD207" s="145">
        <v>180000</v>
      </c>
      <c r="BE207" s="145"/>
      <c r="BZ207" s="385" t="s">
        <v>260</v>
      </c>
      <c r="CA207" s="385" t="s">
        <v>271</v>
      </c>
      <c r="CB207" s="385" t="s">
        <v>261</v>
      </c>
      <c r="CE207" s="204"/>
    </row>
    <row r="208" s="385" customFormat="1" customHeight="1" spans="1:89">
      <c r="A208" s="385">
        <v>141</v>
      </c>
      <c r="C208" s="146">
        <v>45035</v>
      </c>
      <c r="D208" s="524" t="s">
        <v>2369</v>
      </c>
      <c r="F208" s="456" t="s">
        <v>2370</v>
      </c>
      <c r="G208" s="448" t="s">
        <v>2371</v>
      </c>
      <c r="H208" s="1030" t="s">
        <v>2372</v>
      </c>
      <c r="I208" s="451" t="s">
        <v>2373</v>
      </c>
      <c r="J208" s="385">
        <v>107.62</v>
      </c>
      <c r="K208" s="385">
        <v>107.62</v>
      </c>
      <c r="L208" s="385">
        <v>5491.54</v>
      </c>
      <c r="M208" s="464">
        <v>591000</v>
      </c>
      <c r="N208" s="465"/>
      <c r="O208" s="473">
        <v>542201.83</v>
      </c>
      <c r="P208" s="474" t="s">
        <v>2374</v>
      </c>
      <c r="Q208" s="476">
        <v>45585</v>
      </c>
      <c r="R208" s="145"/>
      <c r="S208" s="393"/>
      <c r="T208" s="393"/>
      <c r="U208" s="393" t="s">
        <v>294</v>
      </c>
      <c r="V208" s="145">
        <v>20000</v>
      </c>
      <c r="W208" s="393" t="s">
        <v>1374</v>
      </c>
      <c r="X208" s="145">
        <v>271000</v>
      </c>
      <c r="Y208" s="146" t="s">
        <v>2375</v>
      </c>
      <c r="Z208" s="145">
        <v>300000</v>
      </c>
      <c r="AA208" s="393" t="s">
        <v>2004</v>
      </c>
      <c r="AB208" s="145"/>
      <c r="AH208" s="145">
        <f t="shared" si="29"/>
        <v>591000</v>
      </c>
      <c r="AK208" s="390">
        <f t="shared" si="28"/>
        <v>0</v>
      </c>
      <c r="AL208" s="456" t="s">
        <v>2376</v>
      </c>
      <c r="AM208" s="456"/>
      <c r="AN208" s="475"/>
      <c r="AO208" s="475"/>
      <c r="AP208" s="475"/>
      <c r="AQ208" s="395">
        <f>0.6%+0.04%+0.1%</f>
        <v>0.0074</v>
      </c>
      <c r="AR208" s="447">
        <f t="shared" si="30"/>
        <v>591000</v>
      </c>
      <c r="AS208" s="145"/>
      <c r="AT208" s="145">
        <v>100</v>
      </c>
      <c r="AU208" s="145"/>
      <c r="AV208" s="145"/>
      <c r="AW208" s="145"/>
      <c r="AX208" s="145">
        <v>291000</v>
      </c>
      <c r="AY208" s="223"/>
      <c r="BA208" s="145"/>
      <c r="BB208" s="145">
        <v>300000</v>
      </c>
      <c r="BC208" s="145"/>
      <c r="BD208" s="145"/>
      <c r="BE208" s="145"/>
      <c r="BZ208" s="385" t="s">
        <v>260</v>
      </c>
      <c r="CA208" s="385" t="s">
        <v>271</v>
      </c>
      <c r="CB208" s="385" t="s">
        <v>261</v>
      </c>
      <c r="CE208" s="204"/>
    </row>
    <row r="209" s="385" customFormat="1" customHeight="1" spans="1:83">
      <c r="A209" s="385">
        <v>142</v>
      </c>
      <c r="C209" s="146">
        <v>45063</v>
      </c>
      <c r="D209" s="524" t="s">
        <v>2377</v>
      </c>
      <c r="F209" s="456" t="s">
        <v>2378</v>
      </c>
      <c r="G209" s="448" t="s">
        <v>2379</v>
      </c>
      <c r="H209" s="1030" t="s">
        <v>2380</v>
      </c>
      <c r="I209" s="441" t="s">
        <v>2381</v>
      </c>
      <c r="J209" s="385">
        <v>107.62</v>
      </c>
      <c r="K209" s="385">
        <v>107.62</v>
      </c>
      <c r="L209" s="385">
        <v>5483.27</v>
      </c>
      <c r="M209" s="464">
        <v>590000</v>
      </c>
      <c r="N209" s="465"/>
      <c r="O209" s="473">
        <v>541284.4</v>
      </c>
      <c r="P209" s="474" t="s">
        <v>2382</v>
      </c>
      <c r="Q209" s="476">
        <v>45585</v>
      </c>
      <c r="R209" s="145"/>
      <c r="S209" s="393"/>
      <c r="T209" s="393"/>
      <c r="U209" s="393" t="s">
        <v>294</v>
      </c>
      <c r="V209" s="145">
        <v>20000</v>
      </c>
      <c r="W209" s="146" t="s">
        <v>1374</v>
      </c>
      <c r="X209" s="145">
        <v>170000</v>
      </c>
      <c r="Y209" s="471" t="s">
        <v>1282</v>
      </c>
      <c r="Z209" s="145">
        <v>400000</v>
      </c>
      <c r="AA209" s="393" t="s">
        <v>926</v>
      </c>
      <c r="AB209" s="145"/>
      <c r="AH209" s="145">
        <f t="shared" si="29"/>
        <v>590000</v>
      </c>
      <c r="AK209" s="390">
        <f t="shared" si="28"/>
        <v>0</v>
      </c>
      <c r="AL209" s="456" t="s">
        <v>2383</v>
      </c>
      <c r="AM209" s="456"/>
      <c r="AN209" s="475"/>
      <c r="AO209" s="475"/>
      <c r="AP209" s="475"/>
      <c r="AQ209" s="395">
        <f>0.6%+0.04%+0.1%</f>
        <v>0.0074</v>
      </c>
      <c r="AR209" s="447">
        <f t="shared" si="30"/>
        <v>590000</v>
      </c>
      <c r="AS209" s="145"/>
      <c r="AT209" s="145"/>
      <c r="AU209" s="145"/>
      <c r="AV209" s="145"/>
      <c r="AW209" s="145"/>
      <c r="AX209" s="145"/>
      <c r="AY209" s="223">
        <v>190000</v>
      </c>
      <c r="BA209" s="145">
        <v>400000</v>
      </c>
      <c r="BB209" s="145"/>
      <c r="BC209" s="145"/>
      <c r="BD209" s="145"/>
      <c r="BE209" s="145"/>
      <c r="BZ209" s="385" t="s">
        <v>260</v>
      </c>
      <c r="CA209" s="385" t="s">
        <v>271</v>
      </c>
      <c r="CB209" s="385" t="s">
        <v>261</v>
      </c>
      <c r="CE209" s="204"/>
    </row>
    <row r="210" s="385" customFormat="1" customHeight="1" spans="1:83">
      <c r="A210" s="385">
        <v>143</v>
      </c>
      <c r="C210" s="146">
        <v>44965</v>
      </c>
      <c r="D210" s="385">
        <v>20230001086</v>
      </c>
      <c r="F210" s="456" t="s">
        <v>2384</v>
      </c>
      <c r="G210" s="468" t="s">
        <v>2116</v>
      </c>
      <c r="H210" s="1028" t="s">
        <v>2385</v>
      </c>
      <c r="I210" s="451" t="s">
        <v>2386</v>
      </c>
      <c r="J210" s="385">
        <v>107.62</v>
      </c>
      <c r="K210" s="385">
        <v>107.62</v>
      </c>
      <c r="L210" s="532">
        <v>5262.39</v>
      </c>
      <c r="M210" s="533">
        <v>566338</v>
      </c>
      <c r="N210" s="534"/>
      <c r="O210" s="535">
        <v>519576.15</v>
      </c>
      <c r="P210" s="474" t="s">
        <v>2387</v>
      </c>
      <c r="Q210" s="476">
        <v>45585</v>
      </c>
      <c r="R210" s="145"/>
      <c r="S210" s="393"/>
      <c r="T210" s="394" t="s">
        <v>2388</v>
      </c>
      <c r="U210" s="393" t="s">
        <v>2389</v>
      </c>
      <c r="V210" s="145">
        <v>16338</v>
      </c>
      <c r="W210" s="146" t="s">
        <v>1363</v>
      </c>
      <c r="X210" s="145">
        <v>12900</v>
      </c>
      <c r="Y210" s="146" t="s">
        <v>2390</v>
      </c>
      <c r="Z210" s="145">
        <v>87100</v>
      </c>
      <c r="AA210" s="393" t="s">
        <v>1872</v>
      </c>
      <c r="AB210" s="145">
        <v>450000</v>
      </c>
      <c r="AC210" s="393" t="s">
        <v>2391</v>
      </c>
      <c r="AH210" s="145">
        <f t="shared" si="29"/>
        <v>566338</v>
      </c>
      <c r="AK210" s="390">
        <f t="shared" si="28"/>
        <v>0</v>
      </c>
      <c r="AL210" s="456" t="s">
        <v>2392</v>
      </c>
      <c r="AM210" s="456"/>
      <c r="AN210" s="536"/>
      <c r="AO210" s="536"/>
      <c r="AP210" s="536"/>
      <c r="AQ210" s="395">
        <f>0.4%+0.04%+0.1%+0.04%</f>
        <v>0.0058</v>
      </c>
      <c r="AR210" s="447">
        <f t="shared" si="30"/>
        <v>566338</v>
      </c>
      <c r="AS210" s="145"/>
      <c r="AT210" s="145">
        <v>100</v>
      </c>
      <c r="AU210" s="145"/>
      <c r="AV210" s="145"/>
      <c r="AW210" s="145"/>
      <c r="AX210" s="145"/>
      <c r="AY210" s="223"/>
      <c r="AZ210" s="125"/>
      <c r="BA210" s="145">
        <v>116338</v>
      </c>
      <c r="BB210" s="145"/>
      <c r="BC210" s="145">
        <v>450000</v>
      </c>
      <c r="BD210" s="145"/>
      <c r="BE210" s="145"/>
      <c r="BZ210" s="385" t="s">
        <v>260</v>
      </c>
      <c r="CA210" s="385" t="s">
        <v>271</v>
      </c>
      <c r="CB210" s="385" t="s">
        <v>261</v>
      </c>
      <c r="CE210" s="204"/>
    </row>
    <row r="211" s="385" customFormat="1" customHeight="1" spans="1:83">
      <c r="A211" s="385">
        <v>144</v>
      </c>
      <c r="C211" s="146">
        <v>44968</v>
      </c>
      <c r="D211" s="524" t="s">
        <v>2393</v>
      </c>
      <c r="F211" s="456" t="s">
        <v>2394</v>
      </c>
      <c r="G211" s="468" t="s">
        <v>2100</v>
      </c>
      <c r="H211" s="1028" t="s">
        <v>2395</v>
      </c>
      <c r="I211" s="441" t="s">
        <v>2396</v>
      </c>
      <c r="J211" s="385">
        <v>107.62</v>
      </c>
      <c r="K211" s="385">
        <v>107.62</v>
      </c>
      <c r="L211" s="385">
        <v>5256.38</v>
      </c>
      <c r="M211" s="464">
        <v>565692</v>
      </c>
      <c r="N211" s="465"/>
      <c r="O211" s="473">
        <v>518983.49</v>
      </c>
      <c r="P211" s="474" t="s">
        <v>2397</v>
      </c>
      <c r="Q211" s="476">
        <v>45585</v>
      </c>
      <c r="R211" s="145"/>
      <c r="S211" s="393"/>
      <c r="T211" s="394" t="s">
        <v>2398</v>
      </c>
      <c r="U211" s="393" t="s">
        <v>2399</v>
      </c>
      <c r="V211" s="145">
        <v>2000</v>
      </c>
      <c r="W211" s="146">
        <v>44759</v>
      </c>
      <c r="X211" s="145">
        <v>18000</v>
      </c>
      <c r="Y211" s="146" t="s">
        <v>1280</v>
      </c>
      <c r="Z211" s="145">
        <v>100692</v>
      </c>
      <c r="AA211" s="146" t="s">
        <v>1229</v>
      </c>
      <c r="AB211" s="145">
        <v>50000</v>
      </c>
      <c r="AC211" s="385" t="s">
        <v>2400</v>
      </c>
      <c r="AD211" s="145">
        <v>395000</v>
      </c>
      <c r="AE211" s="393" t="s">
        <v>858</v>
      </c>
      <c r="AH211" s="145">
        <f t="shared" si="29"/>
        <v>565692</v>
      </c>
      <c r="AJ211" s="537"/>
      <c r="AK211" s="390">
        <f t="shared" si="28"/>
        <v>0</v>
      </c>
      <c r="AL211" s="456" t="s">
        <v>2401</v>
      </c>
      <c r="AM211" s="456"/>
      <c r="AN211" s="475"/>
      <c r="AO211" s="475"/>
      <c r="AP211" s="475"/>
      <c r="AQ211" s="395">
        <f>0.6%+0.04%+0.1%</f>
        <v>0.0074</v>
      </c>
      <c r="AR211" s="447">
        <f t="shared" si="30"/>
        <v>565692</v>
      </c>
      <c r="AS211" s="145"/>
      <c r="AT211" s="145"/>
      <c r="AU211" s="145"/>
      <c r="AV211" s="145">
        <v>170692</v>
      </c>
      <c r="AW211" s="145"/>
      <c r="AX211" s="145"/>
      <c r="AY211" s="223"/>
      <c r="BA211" s="145">
        <v>395000</v>
      </c>
      <c r="BB211" s="145"/>
      <c r="BC211" s="145"/>
      <c r="BD211" s="145"/>
      <c r="BE211" s="145"/>
      <c r="BZ211" s="385" t="s">
        <v>260</v>
      </c>
      <c r="CA211" s="385" t="s">
        <v>271</v>
      </c>
      <c r="CB211" s="385" t="s">
        <v>261</v>
      </c>
      <c r="CE211" s="204"/>
    </row>
    <row r="212" s="385" customFormat="1" customHeight="1" spans="1:83">
      <c r="A212" s="385">
        <v>145</v>
      </c>
      <c r="C212" s="146">
        <v>45075</v>
      </c>
      <c r="D212" s="524" t="s">
        <v>2402</v>
      </c>
      <c r="F212" s="456" t="s">
        <v>2403</v>
      </c>
      <c r="G212" s="448" t="s">
        <v>2404</v>
      </c>
      <c r="H212" s="1030" t="s">
        <v>2405</v>
      </c>
      <c r="I212" s="441" t="s">
        <v>2406</v>
      </c>
      <c r="J212" s="385">
        <v>107.62</v>
      </c>
      <c r="K212" s="385">
        <v>107.62</v>
      </c>
      <c r="L212" s="385">
        <v>5605.41</v>
      </c>
      <c r="M212" s="464">
        <v>603254</v>
      </c>
      <c r="N212" s="465"/>
      <c r="O212" s="473">
        <v>553444.04</v>
      </c>
      <c r="P212" s="474" t="s">
        <v>2407</v>
      </c>
      <c r="Q212" s="476">
        <v>45585</v>
      </c>
      <c r="R212" s="145"/>
      <c r="S212" s="393"/>
      <c r="T212" s="393"/>
      <c r="U212" s="393" t="s">
        <v>408</v>
      </c>
      <c r="V212" s="145">
        <v>20000</v>
      </c>
      <c r="W212" s="393" t="s">
        <v>2226</v>
      </c>
      <c r="X212" s="145">
        <v>161254</v>
      </c>
      <c r="Y212" s="146" t="s">
        <v>1473</v>
      </c>
      <c r="Z212" s="145">
        <v>422000</v>
      </c>
      <c r="AA212" s="146" t="s">
        <v>1035</v>
      </c>
      <c r="AB212" s="145"/>
      <c r="AH212" s="145">
        <f t="shared" si="29"/>
        <v>603254</v>
      </c>
      <c r="AK212" s="390">
        <f t="shared" si="28"/>
        <v>0</v>
      </c>
      <c r="AL212" s="456" t="s">
        <v>2408</v>
      </c>
      <c r="AM212" s="456"/>
      <c r="AN212" s="475"/>
      <c r="AO212" s="475"/>
      <c r="AP212" s="475"/>
      <c r="AQ212" s="395">
        <f>0.6%+0.06%+0.14%</f>
        <v>0.008</v>
      </c>
      <c r="AR212" s="447">
        <f t="shared" si="30"/>
        <v>603254</v>
      </c>
      <c r="AS212" s="145"/>
      <c r="AT212" s="145"/>
      <c r="AU212" s="145"/>
      <c r="AV212" s="145"/>
      <c r="AW212" s="145"/>
      <c r="AX212" s="145"/>
      <c r="AY212" s="223">
        <v>181254</v>
      </c>
      <c r="AZ212" s="125">
        <v>422000</v>
      </c>
      <c r="BA212" s="145"/>
      <c r="BB212" s="145"/>
      <c r="BC212" s="145"/>
      <c r="BD212" s="145"/>
      <c r="BE212" s="145"/>
      <c r="BZ212" s="385" t="s">
        <v>260</v>
      </c>
      <c r="CA212" s="385" t="s">
        <v>271</v>
      </c>
      <c r="CB212" s="385" t="s">
        <v>261</v>
      </c>
      <c r="CE212" s="204"/>
    </row>
    <row r="213" s="385" customFormat="1" customHeight="1" spans="1:83">
      <c r="A213" s="385">
        <v>146</v>
      </c>
      <c r="C213" s="146">
        <v>45120</v>
      </c>
      <c r="D213" s="524" t="s">
        <v>2409</v>
      </c>
      <c r="F213" s="456" t="s">
        <v>2410</v>
      </c>
      <c r="G213" s="448" t="s">
        <v>2411</v>
      </c>
      <c r="H213" s="1030" t="s">
        <v>2412</v>
      </c>
      <c r="I213" s="441" t="s">
        <v>2413</v>
      </c>
      <c r="J213" s="385">
        <v>107.62</v>
      </c>
      <c r="K213" s="385">
        <v>107.62</v>
      </c>
      <c r="L213" s="385">
        <v>5301.38</v>
      </c>
      <c r="M213" s="464">
        <v>570535</v>
      </c>
      <c r="N213" s="465"/>
      <c r="O213" s="473">
        <v>523426.61</v>
      </c>
      <c r="P213" s="474" t="s">
        <v>2414</v>
      </c>
      <c r="Q213" s="476">
        <v>45585</v>
      </c>
      <c r="R213" s="145"/>
      <c r="S213" s="393"/>
      <c r="T213" s="394" t="s">
        <v>2415</v>
      </c>
      <c r="U213" s="393" t="s">
        <v>2416</v>
      </c>
      <c r="V213" s="145">
        <v>2000</v>
      </c>
      <c r="W213" s="146">
        <v>44761</v>
      </c>
      <c r="X213" s="145">
        <v>18000</v>
      </c>
      <c r="Y213" s="471" t="s">
        <v>1280</v>
      </c>
      <c r="Z213" s="145">
        <v>51535</v>
      </c>
      <c r="AA213" s="385" t="s">
        <v>1653</v>
      </c>
      <c r="AB213" s="145">
        <v>100000</v>
      </c>
      <c r="AC213" s="393" t="s">
        <v>1019</v>
      </c>
      <c r="AD213" s="145">
        <v>399000</v>
      </c>
      <c r="AE213" s="393" t="s">
        <v>1412</v>
      </c>
      <c r="AH213" s="145">
        <f t="shared" si="29"/>
        <v>570535</v>
      </c>
      <c r="AK213" s="390">
        <f t="shared" si="28"/>
        <v>0</v>
      </c>
      <c r="AL213" s="456" t="s">
        <v>2417</v>
      </c>
      <c r="AM213" s="456"/>
      <c r="AN213" s="475"/>
      <c r="AO213" s="475"/>
      <c r="AP213" s="475"/>
      <c r="AQ213" s="395">
        <f>0.6%+0.1%+0.04%</f>
        <v>0.0074</v>
      </c>
      <c r="AR213" s="447">
        <f t="shared" si="30"/>
        <v>570535</v>
      </c>
      <c r="AS213" s="145">
        <f>100</f>
        <v>100</v>
      </c>
      <c r="AT213" s="145"/>
      <c r="AU213" s="145"/>
      <c r="AV213" s="145"/>
      <c r="AW213" s="145"/>
      <c r="AX213" s="145"/>
      <c r="AY213" s="223"/>
      <c r="AZ213" s="125"/>
      <c r="BA213" s="145">
        <v>171535</v>
      </c>
      <c r="BB213" s="145">
        <v>399000</v>
      </c>
      <c r="BC213" s="145"/>
      <c r="BD213" s="145"/>
      <c r="BE213" s="145"/>
      <c r="BZ213" s="385" t="s">
        <v>260</v>
      </c>
      <c r="CA213" s="385" t="s">
        <v>271</v>
      </c>
      <c r="CB213" s="385" t="s">
        <v>261</v>
      </c>
      <c r="CE213" s="204"/>
    </row>
    <row r="214" s="385" customFormat="1" customHeight="1" spans="1:83">
      <c r="A214" s="385">
        <v>147</v>
      </c>
      <c r="C214" s="146">
        <v>45043</v>
      </c>
      <c r="D214" s="524" t="s">
        <v>2418</v>
      </c>
      <c r="F214" s="456" t="s">
        <v>2419</v>
      </c>
      <c r="G214" s="468" t="s">
        <v>2420</v>
      </c>
      <c r="H214" s="1028" t="s">
        <v>2421</v>
      </c>
      <c r="I214" s="441" t="s">
        <v>2422</v>
      </c>
      <c r="J214" s="385">
        <v>107.62</v>
      </c>
      <c r="K214" s="385">
        <v>107.62</v>
      </c>
      <c r="L214" s="385">
        <v>5620</v>
      </c>
      <c r="M214" s="464">
        <v>604824</v>
      </c>
      <c r="N214" s="465"/>
      <c r="O214" s="473">
        <v>554884.4</v>
      </c>
      <c r="P214" s="474" t="s">
        <v>2423</v>
      </c>
      <c r="Q214" s="476">
        <v>45585</v>
      </c>
      <c r="R214" s="145"/>
      <c r="S214" s="393"/>
      <c r="T214" s="393"/>
      <c r="U214" s="393" t="s">
        <v>2424</v>
      </c>
      <c r="V214" s="145">
        <f>20000+164824</f>
        <v>184824</v>
      </c>
      <c r="W214" s="393" t="s">
        <v>2243</v>
      </c>
      <c r="X214" s="145">
        <v>420000</v>
      </c>
      <c r="Y214" s="471" t="s">
        <v>1282</v>
      </c>
      <c r="Z214" s="145"/>
      <c r="AA214" s="146"/>
      <c r="AB214" s="145"/>
      <c r="AC214" s="146"/>
      <c r="AD214" s="146"/>
      <c r="AE214" s="146"/>
      <c r="AF214" s="146"/>
      <c r="AG214" s="146"/>
      <c r="AH214" s="145">
        <f t="shared" si="29"/>
        <v>604824</v>
      </c>
      <c r="AK214" s="390">
        <f t="shared" si="28"/>
        <v>0</v>
      </c>
      <c r="AL214" s="456" t="s">
        <v>2425</v>
      </c>
      <c r="AM214" s="456"/>
      <c r="AN214" s="475"/>
      <c r="AO214" s="475"/>
      <c r="AP214" s="475"/>
      <c r="AQ214" s="395">
        <f>0.4%</f>
        <v>0.004</v>
      </c>
      <c r="AR214" s="447">
        <f t="shared" si="30"/>
        <v>604824</v>
      </c>
      <c r="AS214" s="145">
        <v>100</v>
      </c>
      <c r="AT214" s="145"/>
      <c r="AU214" s="145"/>
      <c r="AV214" s="145"/>
      <c r="AW214" s="145"/>
      <c r="AX214" s="145">
        <v>184824</v>
      </c>
      <c r="AY214" s="223">
        <v>420000</v>
      </c>
      <c r="BA214" s="145"/>
      <c r="BB214" s="145"/>
      <c r="BC214" s="145"/>
      <c r="BD214" s="145"/>
      <c r="BE214" s="145"/>
      <c r="BZ214" s="385" t="s">
        <v>260</v>
      </c>
      <c r="CA214" s="385" t="s">
        <v>271</v>
      </c>
      <c r="CB214" s="385" t="s">
        <v>261</v>
      </c>
      <c r="CE214" s="204"/>
    </row>
    <row r="215" s="385" customFormat="1" customHeight="1" spans="1:83">
      <c r="A215" s="385">
        <v>148</v>
      </c>
      <c r="C215" s="146">
        <v>45091</v>
      </c>
      <c r="D215" s="524" t="s">
        <v>2426</v>
      </c>
      <c r="F215" s="503" t="s">
        <v>2427</v>
      </c>
      <c r="G215" s="448" t="s">
        <v>2134</v>
      </c>
      <c r="H215" s="1030" t="s">
        <v>2428</v>
      </c>
      <c r="I215" s="451" t="s">
        <v>2429</v>
      </c>
      <c r="J215" s="385">
        <v>107.62</v>
      </c>
      <c r="K215" s="385">
        <v>107.62</v>
      </c>
      <c r="L215" s="385">
        <v>5621.63</v>
      </c>
      <c r="M215" s="464">
        <v>605000</v>
      </c>
      <c r="N215" s="465"/>
      <c r="O215" s="473">
        <v>555045.87</v>
      </c>
      <c r="P215" s="474" t="s">
        <v>2430</v>
      </c>
      <c r="Q215" s="476">
        <v>45585</v>
      </c>
      <c r="R215" s="145"/>
      <c r="S215" s="393"/>
      <c r="T215" s="393"/>
      <c r="U215" s="393" t="s">
        <v>380</v>
      </c>
      <c r="V215" s="145">
        <v>20000</v>
      </c>
      <c r="W215" s="146" t="s">
        <v>1409</v>
      </c>
      <c r="X215" s="145">
        <f>200000+85000</f>
        <v>285000</v>
      </c>
      <c r="Y215" s="471" t="s">
        <v>2431</v>
      </c>
      <c r="Z215" s="145">
        <v>30000</v>
      </c>
      <c r="AA215" s="146" t="s">
        <v>2283</v>
      </c>
      <c r="AB215" s="145">
        <v>270000</v>
      </c>
      <c r="AC215" s="393" t="s">
        <v>994</v>
      </c>
      <c r="AD215" s="146"/>
      <c r="AE215" s="146"/>
      <c r="AF215" s="146"/>
      <c r="AG215" s="146"/>
      <c r="AH215" s="145">
        <f t="shared" si="29"/>
        <v>605000</v>
      </c>
      <c r="AK215" s="390">
        <f t="shared" si="28"/>
        <v>0</v>
      </c>
      <c r="AL215" s="456" t="s">
        <v>2432</v>
      </c>
      <c r="AM215" s="456"/>
      <c r="AN215" s="475"/>
      <c r="AO215" s="475"/>
      <c r="AP215" s="475"/>
      <c r="AQ215" s="395">
        <f>0.6%+0.04%+0.1%</f>
        <v>0.0074</v>
      </c>
      <c r="AR215" s="447">
        <f t="shared" si="30"/>
        <v>605000</v>
      </c>
      <c r="AS215" s="145"/>
      <c r="AT215" s="145"/>
      <c r="AU215" s="145"/>
      <c r="AV215" s="145"/>
      <c r="AW215" s="145"/>
      <c r="AX215" s="145"/>
      <c r="AY215" s="223"/>
      <c r="AZ215" s="125">
        <v>335000</v>
      </c>
      <c r="BA215" s="145">
        <v>270000</v>
      </c>
      <c r="BB215" s="145"/>
      <c r="BC215" s="145"/>
      <c r="BD215" s="145"/>
      <c r="BE215" s="145"/>
      <c r="BZ215" s="385" t="s">
        <v>260</v>
      </c>
      <c r="CA215" s="385" t="s">
        <v>271</v>
      </c>
      <c r="CB215" s="385" t="s">
        <v>261</v>
      </c>
      <c r="CE215" s="204"/>
    </row>
    <row r="216" s="385" customFormat="1" customHeight="1" spans="1:83">
      <c r="A216" s="385">
        <v>149</v>
      </c>
      <c r="C216" s="146">
        <v>45061</v>
      </c>
      <c r="D216" s="524" t="s">
        <v>2433</v>
      </c>
      <c r="F216" s="456" t="s">
        <v>2434</v>
      </c>
      <c r="G216" s="448" t="s">
        <v>2108</v>
      </c>
      <c r="H216" s="1030" t="s">
        <v>2435</v>
      </c>
      <c r="I216" s="441" t="s">
        <v>2436</v>
      </c>
      <c r="J216" s="385">
        <v>107.62</v>
      </c>
      <c r="K216" s="385">
        <v>107.62</v>
      </c>
      <c r="L216" s="385">
        <v>5657.76</v>
      </c>
      <c r="M216" s="464">
        <v>608888</v>
      </c>
      <c r="N216" s="465"/>
      <c r="O216" s="473">
        <v>558612.84</v>
      </c>
      <c r="P216" s="474" t="s">
        <v>2437</v>
      </c>
      <c r="Q216" s="476">
        <v>45585</v>
      </c>
      <c r="R216" s="145"/>
      <c r="S216" s="393"/>
      <c r="T216" s="393"/>
      <c r="U216" s="393" t="s">
        <v>380</v>
      </c>
      <c r="V216" s="145">
        <v>20000</v>
      </c>
      <c r="W216" s="393" t="s">
        <v>2438</v>
      </c>
      <c r="X216" s="145">
        <v>68888</v>
      </c>
      <c r="Y216" s="471" t="s">
        <v>1644</v>
      </c>
      <c r="Z216" s="145">
        <v>40000</v>
      </c>
      <c r="AA216" s="146" t="s">
        <v>490</v>
      </c>
      <c r="AB216" s="145">
        <v>480000</v>
      </c>
      <c r="AC216" s="393" t="s">
        <v>1404</v>
      </c>
      <c r="AH216" s="145">
        <f t="shared" si="29"/>
        <v>608888</v>
      </c>
      <c r="AK216" s="390">
        <f t="shared" si="28"/>
        <v>0</v>
      </c>
      <c r="AL216" s="456" t="s">
        <v>2439</v>
      </c>
      <c r="AM216" s="456"/>
      <c r="AN216" s="475"/>
      <c r="AO216" s="475"/>
      <c r="AP216" s="475"/>
      <c r="AQ216" s="395">
        <f>0.6%+0.05%+0.14%</f>
        <v>0.0079</v>
      </c>
      <c r="AR216" s="447">
        <f t="shared" si="30"/>
        <v>608888</v>
      </c>
      <c r="AS216" s="145"/>
      <c r="AT216" s="145"/>
      <c r="AU216" s="145"/>
      <c r="AV216" s="145"/>
      <c r="AW216" s="145"/>
      <c r="AX216" s="145"/>
      <c r="AY216" s="223">
        <v>128888</v>
      </c>
      <c r="BA216" s="145"/>
      <c r="BB216" s="145"/>
      <c r="BC216" s="145">
        <v>480000</v>
      </c>
      <c r="BD216" s="145"/>
      <c r="BE216" s="145"/>
      <c r="BZ216" s="385" t="s">
        <v>260</v>
      </c>
      <c r="CA216" s="385" t="s">
        <v>271</v>
      </c>
      <c r="CB216" s="385" t="s">
        <v>261</v>
      </c>
      <c r="CE216" s="204"/>
    </row>
    <row r="217" s="385" customFormat="1" customHeight="1" spans="1:83">
      <c r="A217" s="385">
        <v>150</v>
      </c>
      <c r="C217" s="146">
        <v>45066</v>
      </c>
      <c r="D217" s="524" t="s">
        <v>2440</v>
      </c>
      <c r="F217" s="503" t="s">
        <v>2441</v>
      </c>
      <c r="G217" s="448" t="s">
        <v>2442</v>
      </c>
      <c r="H217" s="1030" t="s">
        <v>2443</v>
      </c>
      <c r="I217" s="451" t="s">
        <v>2444</v>
      </c>
      <c r="J217" s="385">
        <v>107.62</v>
      </c>
      <c r="K217" s="385">
        <v>107.62</v>
      </c>
      <c r="L217" s="385">
        <v>5657.76</v>
      </c>
      <c r="M217" s="464">
        <v>608888</v>
      </c>
      <c r="N217" s="465"/>
      <c r="O217" s="473">
        <v>558612.84</v>
      </c>
      <c r="P217" s="474" t="s">
        <v>2445</v>
      </c>
      <c r="Q217" s="476">
        <v>45585</v>
      </c>
      <c r="R217" s="145"/>
      <c r="S217" s="393"/>
      <c r="T217" s="393"/>
      <c r="U217" s="393" t="s">
        <v>2446</v>
      </c>
      <c r="V217" s="145">
        <v>20000</v>
      </c>
      <c r="W217" s="393" t="s">
        <v>2447</v>
      </c>
      <c r="X217" s="145">
        <v>28888</v>
      </c>
      <c r="Y217" s="471" t="s">
        <v>2448</v>
      </c>
      <c r="Z217" s="145">
        <v>80000</v>
      </c>
      <c r="AA217" s="393" t="s">
        <v>446</v>
      </c>
      <c r="AB217" s="145">
        <v>480000</v>
      </c>
      <c r="AC217" s="393" t="s">
        <v>1381</v>
      </c>
      <c r="AH217" s="145">
        <f t="shared" si="29"/>
        <v>608888</v>
      </c>
      <c r="AK217" s="390">
        <f t="shared" ref="AK217:AK280" si="31">M217-AH217</f>
        <v>0</v>
      </c>
      <c r="AL217" s="456" t="s">
        <v>2449</v>
      </c>
      <c r="AM217" s="456"/>
      <c r="AN217" s="475"/>
      <c r="AO217" s="475"/>
      <c r="AP217" s="475"/>
      <c r="AQ217" s="395">
        <f>0.6%+0.06%+0.14%</f>
        <v>0.008</v>
      </c>
      <c r="AR217" s="447">
        <f t="shared" si="30"/>
        <v>608888</v>
      </c>
      <c r="AS217" s="145"/>
      <c r="AT217" s="145"/>
      <c r="AU217" s="145"/>
      <c r="AV217" s="145"/>
      <c r="AW217" s="145"/>
      <c r="AX217" s="145"/>
      <c r="AY217" s="223"/>
      <c r="BA217" s="145"/>
      <c r="BB217" s="145">
        <v>128888</v>
      </c>
      <c r="BC217" s="145"/>
      <c r="BD217" s="145"/>
      <c r="BE217" s="145">
        <v>480000</v>
      </c>
      <c r="BZ217" s="385" t="s">
        <v>260</v>
      </c>
      <c r="CA217" s="385" t="s">
        <v>271</v>
      </c>
      <c r="CB217" s="385" t="s">
        <v>261</v>
      </c>
      <c r="CE217" s="204"/>
    </row>
    <row r="218" s="385" customFormat="1" customHeight="1" spans="1:83">
      <c r="A218" s="385">
        <v>151</v>
      </c>
      <c r="C218" s="146">
        <v>45164</v>
      </c>
      <c r="D218" s="524" t="s">
        <v>2450</v>
      </c>
      <c r="F218" s="456" t="s">
        <v>2451</v>
      </c>
      <c r="G218" s="385" t="s">
        <v>2452</v>
      </c>
      <c r="H218" s="1026" t="s">
        <v>2453</v>
      </c>
      <c r="I218" s="441" t="s">
        <v>2454</v>
      </c>
      <c r="J218" s="385">
        <v>107.62</v>
      </c>
      <c r="K218" s="385">
        <v>107.62</v>
      </c>
      <c r="L218" s="385">
        <v>5950</v>
      </c>
      <c r="M218" s="464">
        <v>640339</v>
      </c>
      <c r="N218" s="465">
        <v>5948.42</v>
      </c>
      <c r="O218" s="473">
        <v>587466.97</v>
      </c>
      <c r="P218" s="474" t="s">
        <v>2455</v>
      </c>
      <c r="Q218" s="476">
        <v>45585</v>
      </c>
      <c r="R218" s="145"/>
      <c r="S218" s="393"/>
      <c r="T218" s="448"/>
      <c r="U218" s="393" t="s">
        <v>561</v>
      </c>
      <c r="V218" s="145">
        <v>20000</v>
      </c>
      <c r="W218" s="393" t="s">
        <v>1411</v>
      </c>
      <c r="X218" s="145">
        <v>280339</v>
      </c>
      <c r="Y218" s="471" t="s">
        <v>2456</v>
      </c>
      <c r="Z218" s="145">
        <v>340000</v>
      </c>
      <c r="AA218" s="393" t="s">
        <v>2457</v>
      </c>
      <c r="AB218" s="145"/>
      <c r="AH218" s="145">
        <f t="shared" si="29"/>
        <v>640339</v>
      </c>
      <c r="AK218" s="390">
        <f t="shared" si="31"/>
        <v>0</v>
      </c>
      <c r="AL218" s="456" t="s">
        <v>2458</v>
      </c>
      <c r="AM218" s="456"/>
      <c r="AN218" s="475"/>
      <c r="AO218" s="475"/>
      <c r="AP218" s="475"/>
      <c r="AQ218" s="140">
        <f>0.7%+0.05%+0.12%</f>
        <v>0.0087</v>
      </c>
      <c r="AR218" s="447">
        <f t="shared" si="30"/>
        <v>640339</v>
      </c>
      <c r="AS218" s="145"/>
      <c r="AT218" s="145"/>
      <c r="AU218" s="145"/>
      <c r="AV218" s="145"/>
      <c r="AW218" s="145"/>
      <c r="AX218" s="145"/>
      <c r="AY218" s="223"/>
      <c r="BA218" s="145"/>
      <c r="BB218" s="145">
        <v>300339</v>
      </c>
      <c r="BC218" s="145"/>
      <c r="BD218" s="145"/>
      <c r="BE218" s="145">
        <v>340000</v>
      </c>
      <c r="BZ218" s="385" t="s">
        <v>260</v>
      </c>
      <c r="CA218" s="385" t="s">
        <v>271</v>
      </c>
      <c r="CB218" s="385" t="s">
        <v>261</v>
      </c>
      <c r="CE218" s="204"/>
    </row>
    <row r="219" s="385" customFormat="1" customHeight="1" spans="1:83">
      <c r="A219" s="385">
        <v>152</v>
      </c>
      <c r="C219" s="146">
        <v>45075</v>
      </c>
      <c r="D219" s="524" t="s">
        <v>2459</v>
      </c>
      <c r="F219" s="456" t="s">
        <v>2460</v>
      </c>
      <c r="G219" s="448" t="s">
        <v>2461</v>
      </c>
      <c r="H219" s="1030" t="s">
        <v>2462</v>
      </c>
      <c r="I219" s="451" t="s">
        <v>2463</v>
      </c>
      <c r="J219" s="385">
        <v>107.62</v>
      </c>
      <c r="K219" s="385">
        <v>107.62</v>
      </c>
      <c r="L219" s="385">
        <v>5965.4</v>
      </c>
      <c r="M219" s="464">
        <v>642000</v>
      </c>
      <c r="N219" s="465">
        <v>5942.22</v>
      </c>
      <c r="O219" s="473">
        <v>588990.83</v>
      </c>
      <c r="P219" s="474" t="s">
        <v>2464</v>
      </c>
      <c r="Q219" s="476">
        <v>45585</v>
      </c>
      <c r="R219" s="145"/>
      <c r="S219" s="393"/>
      <c r="T219" s="393"/>
      <c r="U219" s="393" t="s">
        <v>277</v>
      </c>
      <c r="V219" s="145">
        <v>20000</v>
      </c>
      <c r="W219" s="393" t="s">
        <v>1549</v>
      </c>
      <c r="X219" s="145">
        <v>322000</v>
      </c>
      <c r="Y219" s="471" t="s">
        <v>1473</v>
      </c>
      <c r="Z219" s="145">
        <v>300000</v>
      </c>
      <c r="AA219" s="393" t="s">
        <v>1666</v>
      </c>
      <c r="AB219" s="145"/>
      <c r="AH219" s="145">
        <f t="shared" si="29"/>
        <v>642000</v>
      </c>
      <c r="AK219" s="390">
        <f t="shared" si="31"/>
        <v>0</v>
      </c>
      <c r="AL219" s="456" t="s">
        <v>2465</v>
      </c>
      <c r="AM219" s="456"/>
      <c r="AN219" s="475"/>
      <c r="AO219" s="475"/>
      <c r="AP219" s="475"/>
      <c r="AQ219" s="395">
        <f>0.6%+0.05%+0.14%</f>
        <v>0.0079</v>
      </c>
      <c r="AR219" s="447">
        <f t="shared" si="30"/>
        <v>642000</v>
      </c>
      <c r="AS219" s="145"/>
      <c r="AT219" s="145"/>
      <c r="AU219" s="145"/>
      <c r="AV219" s="145"/>
      <c r="AW219" s="145"/>
      <c r="AX219" s="145"/>
      <c r="AY219" s="223">
        <v>342000</v>
      </c>
      <c r="BA219" s="145"/>
      <c r="BB219" s="145">
        <v>300000</v>
      </c>
      <c r="BC219" s="145"/>
      <c r="BD219" s="145"/>
      <c r="BE219" s="145"/>
      <c r="BZ219" s="385" t="s">
        <v>260</v>
      </c>
      <c r="CA219" s="385" t="s">
        <v>271</v>
      </c>
      <c r="CB219" s="385" t="s">
        <v>261</v>
      </c>
      <c r="CE219" s="204"/>
    </row>
    <row r="220" s="385" customFormat="1" customHeight="1" spans="1:83">
      <c r="A220" s="385">
        <v>153</v>
      </c>
      <c r="C220" s="146">
        <v>45132</v>
      </c>
      <c r="D220" s="524" t="s">
        <v>2466</v>
      </c>
      <c r="F220" s="456" t="s">
        <v>2467</v>
      </c>
      <c r="G220" s="448" t="s">
        <v>2468</v>
      </c>
      <c r="H220" s="1030" t="s">
        <v>2469</v>
      </c>
      <c r="I220" s="441" t="s">
        <v>2470</v>
      </c>
      <c r="J220" s="385">
        <v>107.62</v>
      </c>
      <c r="K220" s="385">
        <v>107.62</v>
      </c>
      <c r="L220" s="385">
        <v>7116</v>
      </c>
      <c r="M220" s="464">
        <v>765824</v>
      </c>
      <c r="N220" s="465">
        <v>6966</v>
      </c>
      <c r="O220" s="473">
        <v>702590.83</v>
      </c>
      <c r="P220" s="474" t="s">
        <v>2471</v>
      </c>
      <c r="Q220" s="476">
        <v>45608</v>
      </c>
      <c r="R220" s="145"/>
      <c r="S220" s="393"/>
      <c r="T220" s="393"/>
      <c r="U220" s="393" t="s">
        <v>2160</v>
      </c>
      <c r="V220" s="145">
        <f>20000+135824</f>
        <v>155824</v>
      </c>
      <c r="W220" s="393" t="s">
        <v>2354</v>
      </c>
      <c r="X220" s="145">
        <v>610000</v>
      </c>
      <c r="Y220" s="393" t="s">
        <v>2472</v>
      </c>
      <c r="Z220" s="145"/>
      <c r="AA220" s="146"/>
      <c r="AB220" s="145"/>
      <c r="AC220" s="146"/>
      <c r="AD220" s="146"/>
      <c r="AE220" s="146"/>
      <c r="AF220" s="146"/>
      <c r="AG220" s="146"/>
      <c r="AH220" s="145">
        <f t="shared" si="29"/>
        <v>765824</v>
      </c>
      <c r="AK220" s="390">
        <f t="shared" si="31"/>
        <v>0</v>
      </c>
      <c r="AL220" s="456" t="s">
        <v>2473</v>
      </c>
      <c r="AM220" s="456"/>
      <c r="AN220" s="475"/>
      <c r="AO220" s="475"/>
      <c r="AP220" s="475"/>
      <c r="AQ220" s="395">
        <f>0.6%+0.03%+0.14%</f>
        <v>0.0077</v>
      </c>
      <c r="AR220" s="447">
        <f t="shared" si="30"/>
        <v>765824</v>
      </c>
      <c r="AS220" s="145"/>
      <c r="AT220" s="145"/>
      <c r="AU220" s="145"/>
      <c r="AV220" s="145"/>
      <c r="AW220" s="145"/>
      <c r="AX220" s="145"/>
      <c r="AY220" s="223"/>
      <c r="BA220" s="145">
        <v>155824</v>
      </c>
      <c r="BB220" s="145"/>
      <c r="BC220" s="145">
        <v>610000</v>
      </c>
      <c r="BD220" s="145"/>
      <c r="BE220" s="145"/>
      <c r="BZ220" s="385" t="s">
        <v>260</v>
      </c>
      <c r="CA220" s="385" t="s">
        <v>271</v>
      </c>
      <c r="CB220" s="385" t="s">
        <v>261</v>
      </c>
      <c r="CE220" s="204"/>
    </row>
    <row r="221" s="385" customFormat="1" customHeight="1" spans="1:83">
      <c r="A221" s="385">
        <v>154</v>
      </c>
      <c r="C221" s="146">
        <v>45299</v>
      </c>
      <c r="D221" s="524" t="s">
        <v>2474</v>
      </c>
      <c r="F221" s="456" t="s">
        <v>2475</v>
      </c>
      <c r="G221" s="468" t="s">
        <v>2476</v>
      </c>
      <c r="H221" s="1028" t="s">
        <v>2477</v>
      </c>
      <c r="I221" s="451" t="s">
        <v>2478</v>
      </c>
      <c r="J221" s="385">
        <v>107.62</v>
      </c>
      <c r="K221" s="385">
        <v>107.62</v>
      </c>
      <c r="L221" s="385">
        <v>6968.96</v>
      </c>
      <c r="M221" s="464">
        <v>750000</v>
      </c>
      <c r="N221" s="465">
        <v>6958</v>
      </c>
      <c r="O221" s="473">
        <v>688073.39</v>
      </c>
      <c r="P221" s="474" t="s">
        <v>2479</v>
      </c>
      <c r="Q221" s="476">
        <v>45608</v>
      </c>
      <c r="R221" s="145"/>
      <c r="S221" s="393"/>
      <c r="T221" s="393"/>
      <c r="U221" s="393" t="s">
        <v>294</v>
      </c>
      <c r="V221" s="145">
        <v>20000</v>
      </c>
      <c r="W221" s="393" t="s">
        <v>610</v>
      </c>
      <c r="X221" s="145">
        <f>45000+55000</f>
        <v>100000</v>
      </c>
      <c r="Y221" s="471" t="s">
        <v>2186</v>
      </c>
      <c r="Z221" s="145">
        <v>30000</v>
      </c>
      <c r="AA221" s="385" t="s">
        <v>1539</v>
      </c>
      <c r="AB221" s="145">
        <v>600000</v>
      </c>
      <c r="AC221" s="393" t="s">
        <v>437</v>
      </c>
      <c r="AH221" s="145">
        <f t="shared" si="29"/>
        <v>750000</v>
      </c>
      <c r="AK221" s="390">
        <f t="shared" si="31"/>
        <v>0</v>
      </c>
      <c r="AL221" s="456" t="s">
        <v>2480</v>
      </c>
      <c r="AM221" s="456"/>
      <c r="AN221" s="475"/>
      <c r="AO221" s="475"/>
      <c r="AP221" s="475"/>
      <c r="AQ221" s="169">
        <f>0.7%+0.04%+0.12%</f>
        <v>0.0086</v>
      </c>
      <c r="AR221" s="447">
        <f t="shared" si="30"/>
        <v>750000</v>
      </c>
      <c r="AS221" s="145"/>
      <c r="AT221" s="145"/>
      <c r="AU221" s="145"/>
      <c r="AV221" s="145"/>
      <c r="AW221" s="145"/>
      <c r="AX221" s="145"/>
      <c r="AY221" s="223"/>
      <c r="BA221" s="145"/>
      <c r="BB221" s="145"/>
      <c r="BC221" s="145"/>
      <c r="BD221" s="145"/>
      <c r="BE221" s="145"/>
      <c r="BG221" s="385">
        <v>150000</v>
      </c>
      <c r="BI221" s="385">
        <v>600000</v>
      </c>
      <c r="BZ221" s="385" t="s">
        <v>260</v>
      </c>
      <c r="CA221" s="385" t="s">
        <v>271</v>
      </c>
      <c r="CB221" s="385" t="s">
        <v>261</v>
      </c>
      <c r="CE221" s="204"/>
    </row>
    <row r="222" s="204" customFormat="1" customHeight="1" spans="1:83">
      <c r="A222" s="204">
        <v>155</v>
      </c>
      <c r="D222" s="478"/>
      <c r="E222" s="204" t="s">
        <v>2481</v>
      </c>
      <c r="G222" s="480"/>
      <c r="H222" s="480"/>
      <c r="I222" s="481" t="s">
        <v>2482</v>
      </c>
      <c r="J222" s="204">
        <v>107.42</v>
      </c>
      <c r="M222" s="492"/>
      <c r="N222" s="204">
        <v>8639.36</v>
      </c>
      <c r="O222" s="482"/>
      <c r="P222" s="483"/>
      <c r="Q222" s="483"/>
      <c r="R222" s="431"/>
      <c r="S222" s="434"/>
      <c r="T222" s="434"/>
      <c r="U222" s="434"/>
      <c r="V222" s="431"/>
      <c r="W222" s="434"/>
      <c r="X222" s="431"/>
      <c r="Y222" s="484"/>
      <c r="Z222" s="431"/>
      <c r="AA222" s="484"/>
      <c r="AB222" s="431"/>
      <c r="AC222" s="484"/>
      <c r="AD222" s="484"/>
      <c r="AE222" s="484"/>
      <c r="AF222" s="484"/>
      <c r="AG222" s="484"/>
      <c r="AH222" s="431">
        <f t="shared" si="29"/>
        <v>0</v>
      </c>
      <c r="AK222" s="432">
        <f t="shared" si="31"/>
        <v>0</v>
      </c>
      <c r="AL222" s="479"/>
      <c r="AM222" s="479"/>
      <c r="AN222" s="485"/>
      <c r="AO222" s="485"/>
      <c r="AP222" s="485"/>
      <c r="AQ222" s="489">
        <f>0.4%+0.05%+0.14%</f>
        <v>0.0059</v>
      </c>
      <c r="AR222" s="438">
        <f t="shared" si="30"/>
        <v>0</v>
      </c>
      <c r="AS222" s="431">
        <v>100</v>
      </c>
      <c r="AT222" s="431"/>
      <c r="AU222" s="431"/>
      <c r="AV222" s="431"/>
      <c r="AW222" s="431"/>
      <c r="AX222" s="431"/>
      <c r="AY222" s="242"/>
      <c r="AZ222" s="101"/>
      <c r="BA222" s="431"/>
      <c r="BB222" s="431"/>
      <c r="BC222" s="431"/>
      <c r="BD222" s="431"/>
      <c r="BE222" s="431"/>
      <c r="BV222" s="386"/>
      <c r="BZ222" s="204" t="s">
        <v>260</v>
      </c>
    </row>
    <row r="223" s="385" customFormat="1" customHeight="1" spans="1:83">
      <c r="A223" s="385">
        <v>156</v>
      </c>
      <c r="C223" s="146">
        <v>45053</v>
      </c>
      <c r="D223" s="524" t="s">
        <v>2483</v>
      </c>
      <c r="F223" s="456" t="s">
        <v>2484</v>
      </c>
      <c r="G223" s="448" t="s">
        <v>2485</v>
      </c>
      <c r="H223" s="448"/>
      <c r="I223" s="451" t="s">
        <v>2486</v>
      </c>
      <c r="J223" s="385">
        <v>107.98</v>
      </c>
      <c r="K223" s="385">
        <v>107.98</v>
      </c>
      <c r="L223" s="385">
        <v>7992.01</v>
      </c>
      <c r="M223" s="464">
        <v>862977</v>
      </c>
      <c r="N223" s="465"/>
      <c r="O223" s="473">
        <v>791722.02</v>
      </c>
      <c r="P223" s="474" t="s">
        <v>2487</v>
      </c>
      <c r="Q223" s="476">
        <v>45564</v>
      </c>
      <c r="R223" s="145"/>
      <c r="S223" s="393"/>
      <c r="T223" s="393"/>
      <c r="U223" s="393" t="s">
        <v>277</v>
      </c>
      <c r="V223" s="145">
        <v>2977</v>
      </c>
      <c r="W223" s="146" t="s">
        <v>331</v>
      </c>
      <c r="X223" s="145">
        <v>187000</v>
      </c>
      <c r="Y223" s="471" t="s">
        <v>1952</v>
      </c>
      <c r="Z223" s="145">
        <v>673000</v>
      </c>
      <c r="AA223" s="385" t="s">
        <v>1097</v>
      </c>
      <c r="AB223" s="145"/>
      <c r="AH223" s="145">
        <f t="shared" si="29"/>
        <v>862977</v>
      </c>
      <c r="AK223" s="390">
        <f t="shared" si="31"/>
        <v>0</v>
      </c>
      <c r="AL223" s="456" t="s">
        <v>2488</v>
      </c>
      <c r="AM223" s="456"/>
      <c r="AN223" s="475"/>
      <c r="AO223" s="475"/>
      <c r="AP223" s="475"/>
      <c r="AQ223" s="395">
        <f>0.6%+0.05%+0.14%</f>
        <v>0.0079</v>
      </c>
      <c r="AR223" s="447">
        <f t="shared" si="30"/>
        <v>862977</v>
      </c>
      <c r="AS223" s="145"/>
      <c r="AT223" s="145"/>
      <c r="AU223" s="145"/>
      <c r="AV223" s="145"/>
      <c r="AW223" s="145"/>
      <c r="AX223" s="145"/>
      <c r="AY223" s="223">
        <v>189977</v>
      </c>
      <c r="BA223" s="145">
        <v>673000</v>
      </c>
      <c r="BB223" s="145"/>
      <c r="BC223" s="145"/>
      <c r="BD223" s="145"/>
      <c r="BE223" s="145"/>
      <c r="BZ223" s="385" t="s">
        <v>260</v>
      </c>
      <c r="CA223" s="385" t="s">
        <v>271</v>
      </c>
      <c r="CB223" s="385" t="s">
        <v>261</v>
      </c>
      <c r="CE223" s="204"/>
    </row>
    <row r="224" s="385" customFormat="1" customHeight="1" spans="1:83">
      <c r="A224" s="385">
        <v>157</v>
      </c>
      <c r="B224" s="385"/>
      <c r="C224" s="146">
        <v>45754</v>
      </c>
      <c r="D224" s="385">
        <v>20250001791</v>
      </c>
      <c r="E224" s="385" t="s">
        <v>2489</v>
      </c>
      <c r="F224" s="456" t="s">
        <v>2490</v>
      </c>
      <c r="G224" s="448" t="s">
        <v>2491</v>
      </c>
      <c r="H224" s="448"/>
      <c r="I224" s="441" t="s">
        <v>2492</v>
      </c>
      <c r="J224" s="385">
        <v>107.62</v>
      </c>
      <c r="K224" s="385">
        <v>107.62</v>
      </c>
      <c r="L224" s="385">
        <v>5883.35</v>
      </c>
      <c r="M224" s="389">
        <v>633166</v>
      </c>
      <c r="N224" s="385">
        <v>5883.35</v>
      </c>
      <c r="O224" s="473">
        <v>580886.24</v>
      </c>
      <c r="P224" s="443" t="s">
        <v>2493</v>
      </c>
      <c r="Q224" s="392">
        <v>45754</v>
      </c>
      <c r="R224" s="145"/>
      <c r="S224" s="393"/>
      <c r="T224" s="393"/>
      <c r="U224" s="393"/>
      <c r="V224" s="145">
        <v>633166</v>
      </c>
      <c r="W224" s="393" t="s">
        <v>885</v>
      </c>
      <c r="X224" s="145"/>
      <c r="Y224" s="471"/>
      <c r="Z224" s="145"/>
      <c r="AA224" s="146"/>
      <c r="AB224" s="145"/>
      <c r="AC224" s="385"/>
      <c r="AD224" s="385"/>
      <c r="AE224" s="385"/>
      <c r="AF224" s="385"/>
      <c r="AG224" s="385"/>
      <c r="AH224" s="145">
        <f t="shared" si="29"/>
        <v>633166</v>
      </c>
      <c r="AK224" s="390">
        <f t="shared" si="31"/>
        <v>0</v>
      </c>
      <c r="AL224" s="456" t="s">
        <v>2494</v>
      </c>
      <c r="AM224" s="456"/>
      <c r="AN224" s="469"/>
      <c r="AO224" s="469"/>
      <c r="AP224" s="469"/>
      <c r="AQ224" s="395"/>
      <c r="AR224" s="447">
        <f t="shared" si="30"/>
        <v>0</v>
      </c>
      <c r="AS224" s="145"/>
      <c r="AT224" s="145"/>
      <c r="AU224" s="145"/>
      <c r="AV224" s="145"/>
      <c r="AW224" s="145"/>
      <c r="AX224" s="145"/>
      <c r="AY224" s="223"/>
      <c r="BA224" s="145"/>
      <c r="BB224" s="145"/>
      <c r="BC224" s="145"/>
      <c r="BD224" s="145"/>
      <c r="BE224" s="145"/>
      <c r="BZ224" s="385" t="s">
        <v>260</v>
      </c>
      <c r="CB224" s="385" t="s">
        <v>261</v>
      </c>
      <c r="CE224" s="204"/>
    </row>
    <row r="225" s="385" customFormat="1" customHeight="1" spans="1:83">
      <c r="A225" s="385">
        <v>158</v>
      </c>
      <c r="C225" s="146">
        <v>45417</v>
      </c>
      <c r="D225" s="524" t="s">
        <v>2495</v>
      </c>
      <c r="F225" s="456" t="s">
        <v>2496</v>
      </c>
      <c r="G225" s="448" t="s">
        <v>2497</v>
      </c>
      <c r="H225" s="1030" t="s">
        <v>2498</v>
      </c>
      <c r="I225" s="451" t="s">
        <v>2499</v>
      </c>
      <c r="J225" s="385">
        <v>107.98</v>
      </c>
      <c r="K225" s="385">
        <v>107.98</v>
      </c>
      <c r="L225" s="385">
        <v>5600</v>
      </c>
      <c r="M225" s="464">
        <v>604688</v>
      </c>
      <c r="N225" s="465">
        <v>5518.93</v>
      </c>
      <c r="O225" s="473">
        <v>554759.63</v>
      </c>
      <c r="P225" s="474" t="s">
        <v>2500</v>
      </c>
      <c r="Q225" s="476">
        <v>45564</v>
      </c>
      <c r="R225" s="145"/>
      <c r="S225" s="393"/>
      <c r="T225" s="393"/>
      <c r="U225" s="393" t="s">
        <v>546</v>
      </c>
      <c r="V225" s="145">
        <v>20000</v>
      </c>
      <c r="W225" s="393" t="s">
        <v>269</v>
      </c>
      <c r="X225" s="145">
        <v>184688</v>
      </c>
      <c r="Y225" s="393" t="s">
        <v>965</v>
      </c>
      <c r="Z225" s="145">
        <v>400000</v>
      </c>
      <c r="AA225" s="393" t="s">
        <v>2501</v>
      </c>
      <c r="AB225" s="145"/>
      <c r="AH225" s="145">
        <f t="shared" ref="AH225:AH256" si="32">V225+X225+Z225+AB225+AD225+AF225</f>
        <v>604688</v>
      </c>
      <c r="AK225" s="390">
        <f t="shared" si="31"/>
        <v>0</v>
      </c>
      <c r="AL225" s="456" t="s">
        <v>2502</v>
      </c>
      <c r="AM225" s="456"/>
      <c r="AN225" s="475"/>
      <c r="AO225" s="475"/>
      <c r="AP225" s="475"/>
      <c r="AQ225" s="169">
        <f>0.7%+0.12%</f>
        <v>0.0082</v>
      </c>
      <c r="AR225" s="447">
        <f t="shared" si="30"/>
        <v>604688</v>
      </c>
      <c r="AS225" s="145"/>
      <c r="AT225" s="145">
        <v>100</v>
      </c>
      <c r="AU225" s="145"/>
      <c r="AV225" s="145"/>
      <c r="AW225" s="145"/>
      <c r="AX225" s="145"/>
      <c r="AY225" s="223"/>
      <c r="BA225" s="145"/>
      <c r="BB225" s="145"/>
      <c r="BC225" s="145"/>
      <c r="BD225" s="145"/>
      <c r="BE225" s="145"/>
      <c r="BK225" s="385">
        <v>204688</v>
      </c>
      <c r="BL225" s="385">
        <v>400000</v>
      </c>
      <c r="BZ225" s="385" t="s">
        <v>260</v>
      </c>
      <c r="CA225" s="385" t="s">
        <v>271</v>
      </c>
      <c r="CB225" s="385" t="s">
        <v>261</v>
      </c>
      <c r="CE225" s="204"/>
    </row>
    <row r="226" s="385" customFormat="1" customHeight="1" spans="1:83">
      <c r="A226" s="385">
        <v>159</v>
      </c>
      <c r="C226" s="146">
        <v>45180</v>
      </c>
      <c r="D226" s="513" t="s">
        <v>2503</v>
      </c>
      <c r="F226" s="456" t="s">
        <v>2504</v>
      </c>
      <c r="G226" s="448" t="s">
        <v>2136</v>
      </c>
      <c r="H226" s="1030" t="s">
        <v>2505</v>
      </c>
      <c r="I226" s="441" t="s">
        <v>2506</v>
      </c>
      <c r="J226" s="385">
        <v>107.62</v>
      </c>
      <c r="K226" s="385">
        <v>107.62</v>
      </c>
      <c r="L226" s="537">
        <v>5650</v>
      </c>
      <c r="M226" s="464">
        <v>608053</v>
      </c>
      <c r="N226" s="465">
        <v>5582.31</v>
      </c>
      <c r="O226" s="473">
        <v>557846.79</v>
      </c>
      <c r="P226" s="474" t="s">
        <v>2507</v>
      </c>
      <c r="Q226" s="476">
        <v>45564</v>
      </c>
      <c r="R226" s="145"/>
      <c r="S226" s="393"/>
      <c r="T226" s="393"/>
      <c r="U226" s="393" t="s">
        <v>284</v>
      </c>
      <c r="V226" s="145">
        <v>20000</v>
      </c>
      <c r="W226" s="393" t="s">
        <v>2508</v>
      </c>
      <c r="X226" s="145">
        <v>102053</v>
      </c>
      <c r="Y226" s="393" t="s">
        <v>618</v>
      </c>
      <c r="Z226" s="145">
        <v>486000</v>
      </c>
      <c r="AA226" s="393" t="s">
        <v>948</v>
      </c>
      <c r="AB226" s="145"/>
      <c r="AC226" s="146"/>
      <c r="AD226" s="146"/>
      <c r="AE226" s="146"/>
      <c r="AF226" s="146"/>
      <c r="AG226" s="146"/>
      <c r="AH226" s="145">
        <f t="shared" si="32"/>
        <v>608053</v>
      </c>
      <c r="AK226" s="390">
        <f t="shared" si="31"/>
        <v>0</v>
      </c>
      <c r="AL226" s="456" t="s">
        <v>2509</v>
      </c>
      <c r="AM226" s="456"/>
      <c r="AN226" s="475"/>
      <c r="AO226" s="475"/>
      <c r="AP226" s="475"/>
      <c r="AQ226" s="395">
        <f>0.4%+0.02%+0.12%</f>
        <v>0.0054</v>
      </c>
      <c r="AR226" s="447">
        <f t="shared" si="30"/>
        <v>608053</v>
      </c>
      <c r="AS226" s="145">
        <f>100</f>
        <v>100</v>
      </c>
      <c r="AT226" s="145"/>
      <c r="AU226" s="145"/>
      <c r="AV226" s="145"/>
      <c r="AW226" s="145"/>
      <c r="AX226" s="145"/>
      <c r="AY226" s="223"/>
      <c r="BA226" s="145"/>
      <c r="BB226" s="145"/>
      <c r="BC226" s="145">
        <v>122053</v>
      </c>
      <c r="BD226" s="145">
        <v>486000</v>
      </c>
      <c r="BE226" s="145"/>
      <c r="BZ226" s="385" t="s">
        <v>260</v>
      </c>
      <c r="CA226" s="385" t="s">
        <v>271</v>
      </c>
      <c r="CB226" s="385" t="s">
        <v>261</v>
      </c>
      <c r="CE226" s="204"/>
    </row>
    <row r="227" s="385" customFormat="1" customHeight="1" spans="1:83">
      <c r="A227" s="385">
        <v>160</v>
      </c>
      <c r="C227" s="146">
        <v>45172</v>
      </c>
      <c r="D227" s="524" t="s">
        <v>2510</v>
      </c>
      <c r="F227" s="456" t="s">
        <v>2511</v>
      </c>
      <c r="G227" s="448" t="s">
        <v>2512</v>
      </c>
      <c r="H227" s="1030" t="s">
        <v>2513</v>
      </c>
      <c r="I227" s="441" t="s">
        <v>2514</v>
      </c>
      <c r="J227" s="385">
        <v>107.98</v>
      </c>
      <c r="K227" s="385">
        <v>107.98</v>
      </c>
      <c r="L227" s="385">
        <v>5649</v>
      </c>
      <c r="M227" s="464">
        <v>609979</v>
      </c>
      <c r="N227" s="465">
        <v>5570.89</v>
      </c>
      <c r="O227" s="473">
        <v>559613.76</v>
      </c>
      <c r="P227" s="474" t="s">
        <v>2515</v>
      </c>
      <c r="Q227" s="476">
        <v>45564</v>
      </c>
      <c r="R227" s="145"/>
      <c r="S227" s="393"/>
      <c r="T227" s="393"/>
      <c r="U227" s="393" t="s">
        <v>380</v>
      </c>
      <c r="V227" s="145">
        <v>20000</v>
      </c>
      <c r="W227" s="393" t="s">
        <v>2516</v>
      </c>
      <c r="X227" s="145">
        <v>109979</v>
      </c>
      <c r="Y227" s="393" t="s">
        <v>2517</v>
      </c>
      <c r="Z227" s="145">
        <v>480000</v>
      </c>
      <c r="AA227" s="385" t="s">
        <v>959</v>
      </c>
      <c r="AB227" s="145"/>
      <c r="AH227" s="145">
        <f t="shared" si="32"/>
        <v>609979</v>
      </c>
      <c r="AK227" s="390">
        <f t="shared" si="31"/>
        <v>0</v>
      </c>
      <c r="AL227" s="456" t="s">
        <v>2518</v>
      </c>
      <c r="AM227" s="456"/>
      <c r="AN227" s="475"/>
      <c r="AO227" s="475"/>
      <c r="AP227" s="475"/>
      <c r="AQ227" s="395">
        <f>0.5%+0.05%+0.12%</f>
        <v>0.0067</v>
      </c>
      <c r="AR227" s="447">
        <f t="shared" si="30"/>
        <v>609979</v>
      </c>
      <c r="AS227" s="145"/>
      <c r="AT227" s="145"/>
      <c r="AU227" s="145"/>
      <c r="AV227" s="145"/>
      <c r="AW227" s="145"/>
      <c r="AX227" s="145"/>
      <c r="AY227" s="223"/>
      <c r="BA227" s="145"/>
      <c r="BB227" s="145"/>
      <c r="BC227" s="145">
        <v>129979</v>
      </c>
      <c r="BD227" s="145">
        <v>480000</v>
      </c>
      <c r="BE227" s="145"/>
      <c r="BZ227" s="385" t="s">
        <v>260</v>
      </c>
      <c r="CA227" s="385" t="s">
        <v>271</v>
      </c>
      <c r="CB227" s="385" t="s">
        <v>261</v>
      </c>
      <c r="CE227" s="204"/>
    </row>
    <row r="228" s="385" customFormat="1" customHeight="1" spans="1:83">
      <c r="A228" s="385">
        <v>161</v>
      </c>
      <c r="C228" s="146">
        <v>45117</v>
      </c>
      <c r="D228" s="524" t="s">
        <v>2519</v>
      </c>
      <c r="F228" s="456" t="s">
        <v>2520</v>
      </c>
      <c r="G228" s="448" t="s">
        <v>2521</v>
      </c>
      <c r="H228" s="1030" t="s">
        <v>2522</v>
      </c>
      <c r="I228" s="441" t="s">
        <v>2523</v>
      </c>
      <c r="J228" s="385">
        <v>107.62</v>
      </c>
      <c r="K228" s="385">
        <v>107.62</v>
      </c>
      <c r="L228" s="385">
        <v>5723.84</v>
      </c>
      <c r="M228" s="464">
        <v>616000</v>
      </c>
      <c r="N228" s="465">
        <v>5643.32</v>
      </c>
      <c r="O228" s="473">
        <v>565137.61</v>
      </c>
      <c r="P228" s="474" t="s">
        <v>2524</v>
      </c>
      <c r="Q228" s="476">
        <v>45564</v>
      </c>
      <c r="R228" s="145"/>
      <c r="S228" s="393"/>
      <c r="T228" s="393"/>
      <c r="U228" s="393" t="s">
        <v>561</v>
      </c>
      <c r="V228" s="145">
        <v>10000</v>
      </c>
      <c r="W228" s="393" t="s">
        <v>2525</v>
      </c>
      <c r="X228" s="145">
        <f>206000+80000</f>
        <v>286000</v>
      </c>
      <c r="Y228" s="393" t="s">
        <v>1057</v>
      </c>
      <c r="Z228" s="145">
        <v>320000</v>
      </c>
      <c r="AA228" s="393" t="s">
        <v>2526</v>
      </c>
      <c r="AB228" s="145"/>
      <c r="AH228" s="145">
        <f t="shared" si="32"/>
        <v>616000</v>
      </c>
      <c r="AK228" s="390">
        <f t="shared" si="31"/>
        <v>0</v>
      </c>
      <c r="AL228" s="456" t="s">
        <v>2527</v>
      </c>
      <c r="AM228" s="456"/>
      <c r="AN228" s="475"/>
      <c r="AO228" s="475"/>
      <c r="AP228" s="475"/>
      <c r="AQ228" s="395">
        <f>0.4%+0.02%+0.08%</f>
        <v>0.005</v>
      </c>
      <c r="AR228" s="447">
        <f t="shared" si="30"/>
        <v>616000</v>
      </c>
      <c r="AS228" s="145"/>
      <c r="AT228" s="145"/>
      <c r="AU228" s="145"/>
      <c r="AV228" s="145"/>
      <c r="AW228" s="145"/>
      <c r="AX228" s="145"/>
      <c r="AY228" s="223"/>
      <c r="AZ228" s="125"/>
      <c r="BA228" s="145">
        <v>296000</v>
      </c>
      <c r="BB228" s="145">
        <v>320000</v>
      </c>
      <c r="BC228" s="145"/>
      <c r="BD228" s="145"/>
      <c r="BE228" s="145"/>
      <c r="BZ228" s="385" t="s">
        <v>260</v>
      </c>
      <c r="CA228" s="385" t="s">
        <v>271</v>
      </c>
      <c r="CB228" s="385" t="s">
        <v>261</v>
      </c>
      <c r="CE228" s="204"/>
    </row>
    <row r="229" s="385" customFormat="1" customHeight="1" spans="1:83">
      <c r="A229" s="385">
        <v>162</v>
      </c>
      <c r="C229" s="146">
        <v>45137</v>
      </c>
      <c r="D229" s="524" t="s">
        <v>2528</v>
      </c>
      <c r="F229" s="1027" t="s">
        <v>2529</v>
      </c>
      <c r="G229" s="448" t="s">
        <v>2530</v>
      </c>
      <c r="H229" s="448"/>
      <c r="I229" s="451" t="s">
        <v>2531</v>
      </c>
      <c r="J229" s="385">
        <v>107.98</v>
      </c>
      <c r="K229" s="385">
        <v>107.98</v>
      </c>
      <c r="L229" s="385">
        <v>5660</v>
      </c>
      <c r="M229" s="464">
        <v>611167</v>
      </c>
      <c r="N229" s="465">
        <v>5631.9</v>
      </c>
      <c r="O229" s="473">
        <v>560703.67</v>
      </c>
      <c r="P229" s="474" t="s">
        <v>2532</v>
      </c>
      <c r="Q229" s="476">
        <v>45564</v>
      </c>
      <c r="R229" s="145"/>
      <c r="S229" s="498"/>
      <c r="T229" s="498"/>
      <c r="U229" s="498" t="s">
        <v>546</v>
      </c>
      <c r="V229" s="145">
        <v>251167</v>
      </c>
      <c r="W229" s="498" t="s">
        <v>1881</v>
      </c>
      <c r="X229" s="145">
        <v>10000</v>
      </c>
      <c r="Y229" s="393" t="s">
        <v>2067</v>
      </c>
      <c r="Z229" s="145">
        <v>350000</v>
      </c>
      <c r="AA229" s="498" t="s">
        <v>847</v>
      </c>
      <c r="AB229" s="145"/>
      <c r="AH229" s="145">
        <f t="shared" si="32"/>
        <v>611167</v>
      </c>
      <c r="AK229" s="390">
        <f t="shared" si="31"/>
        <v>0</v>
      </c>
      <c r="AL229" s="456" t="s">
        <v>2533</v>
      </c>
      <c r="AM229" s="456"/>
      <c r="AN229" s="475"/>
      <c r="AO229" s="475"/>
      <c r="AP229" s="475"/>
      <c r="AQ229" s="395">
        <f>0.7%+0.14%</f>
        <v>0.0084</v>
      </c>
      <c r="AR229" s="447">
        <f t="shared" si="30"/>
        <v>611167</v>
      </c>
      <c r="AS229" s="145"/>
      <c r="AT229" s="145"/>
      <c r="AU229" s="145"/>
      <c r="AV229" s="145"/>
      <c r="AW229" s="145"/>
      <c r="AX229" s="145"/>
      <c r="AY229" s="223"/>
      <c r="BA229" s="145">
        <v>251167</v>
      </c>
      <c r="BB229" s="145"/>
      <c r="BC229" s="145"/>
      <c r="BD229" s="145">
        <v>360000</v>
      </c>
      <c r="BE229" s="145"/>
      <c r="BZ229" s="385" t="s">
        <v>260</v>
      </c>
      <c r="CA229" s="385" t="s">
        <v>271</v>
      </c>
      <c r="CB229" s="385" t="s">
        <v>261</v>
      </c>
      <c r="CE229" s="204"/>
    </row>
    <row r="230" s="385" customFormat="1" customHeight="1" spans="1:83">
      <c r="A230" s="385">
        <v>163</v>
      </c>
      <c r="C230" s="146">
        <v>45047</v>
      </c>
      <c r="D230" s="524" t="s">
        <v>2534</v>
      </c>
      <c r="F230" s="456" t="s">
        <v>2535</v>
      </c>
      <c r="G230" s="448" t="s">
        <v>2536</v>
      </c>
      <c r="H230" s="1030" t="s">
        <v>2537</v>
      </c>
      <c r="I230" s="441" t="s">
        <v>2538</v>
      </c>
      <c r="J230" s="385">
        <v>107.62</v>
      </c>
      <c r="K230" s="385">
        <v>107.62</v>
      </c>
      <c r="L230" s="385">
        <v>5482.25</v>
      </c>
      <c r="M230" s="464">
        <v>590000</v>
      </c>
      <c r="N230" s="465"/>
      <c r="O230" s="473">
        <v>541284.4</v>
      </c>
      <c r="P230" s="474" t="s">
        <v>2539</v>
      </c>
      <c r="Q230" s="476">
        <v>45564</v>
      </c>
      <c r="R230" s="145"/>
      <c r="S230" s="393"/>
      <c r="T230" s="393"/>
      <c r="U230" s="393" t="s">
        <v>294</v>
      </c>
      <c r="V230" s="145">
        <v>20000</v>
      </c>
      <c r="W230" s="538" t="s">
        <v>2540</v>
      </c>
      <c r="X230" s="145">
        <v>170000</v>
      </c>
      <c r="Y230" s="471" t="s">
        <v>846</v>
      </c>
      <c r="Z230" s="145">
        <v>400000</v>
      </c>
      <c r="AA230" s="393" t="s">
        <v>810</v>
      </c>
      <c r="AB230" s="145"/>
      <c r="AH230" s="145">
        <f t="shared" si="32"/>
        <v>590000</v>
      </c>
      <c r="AK230" s="390">
        <f t="shared" si="31"/>
        <v>0</v>
      </c>
      <c r="AL230" s="456" t="s">
        <v>2541</v>
      </c>
      <c r="AM230" s="456"/>
      <c r="AN230" s="475"/>
      <c r="AO230" s="475"/>
      <c r="AP230" s="475"/>
      <c r="AQ230" s="395">
        <f>0.6%+0.04%+0.1%</f>
        <v>0.0074</v>
      </c>
      <c r="AR230" s="447">
        <f t="shared" si="30"/>
        <v>590000</v>
      </c>
      <c r="AS230" s="145"/>
      <c r="AT230" s="145"/>
      <c r="AU230" s="145"/>
      <c r="AV230" s="145"/>
      <c r="AW230" s="145"/>
      <c r="AX230" s="145"/>
      <c r="AY230" s="223">
        <v>190000</v>
      </c>
      <c r="BA230" s="145">
        <v>400000</v>
      </c>
      <c r="BB230" s="145"/>
      <c r="BC230" s="145"/>
      <c r="BD230" s="145"/>
      <c r="BE230" s="145"/>
      <c r="BZ230" s="385" t="s">
        <v>260</v>
      </c>
      <c r="CA230" s="385" t="s">
        <v>271</v>
      </c>
      <c r="CB230" s="385" t="s">
        <v>261</v>
      </c>
      <c r="CE230" s="204"/>
    </row>
    <row r="231" s="385" customFormat="1" customHeight="1" spans="1:83">
      <c r="A231" s="385">
        <v>164</v>
      </c>
      <c r="C231" s="146">
        <v>45133</v>
      </c>
      <c r="D231" s="456" t="s">
        <v>2542</v>
      </c>
      <c r="F231" s="456" t="s">
        <v>2543</v>
      </c>
      <c r="G231" s="448" t="s">
        <v>2544</v>
      </c>
      <c r="H231" s="1030" t="s">
        <v>2545</v>
      </c>
      <c r="I231" s="451" t="s">
        <v>2546</v>
      </c>
      <c r="J231" s="385">
        <v>107.98</v>
      </c>
      <c r="K231" s="385">
        <v>107.98</v>
      </c>
      <c r="L231" s="385">
        <v>5800</v>
      </c>
      <c r="M231" s="464">
        <v>626284</v>
      </c>
      <c r="N231" s="465">
        <v>5738.57</v>
      </c>
      <c r="O231" s="473">
        <v>574572.48</v>
      </c>
      <c r="P231" s="474" t="s">
        <v>2547</v>
      </c>
      <c r="Q231" s="476">
        <v>45564</v>
      </c>
      <c r="R231" s="145"/>
      <c r="S231" s="393"/>
      <c r="T231" s="393"/>
      <c r="U231" s="393" t="s">
        <v>561</v>
      </c>
      <c r="V231" s="145">
        <v>20000</v>
      </c>
      <c r="W231" s="393" t="s">
        <v>1691</v>
      </c>
      <c r="X231" s="145">
        <v>176284</v>
      </c>
      <c r="Y231" s="471" t="s">
        <v>810</v>
      </c>
      <c r="Z231" s="145">
        <v>430000</v>
      </c>
      <c r="AA231" s="393" t="s">
        <v>1985</v>
      </c>
      <c r="AB231" s="145"/>
      <c r="AH231" s="145">
        <f t="shared" si="32"/>
        <v>626284</v>
      </c>
      <c r="AK231" s="390">
        <f t="shared" si="31"/>
        <v>0</v>
      </c>
      <c r="AL231" s="456" t="s">
        <v>2548</v>
      </c>
      <c r="AM231" s="456"/>
      <c r="AN231" s="475"/>
      <c r="AO231" s="475"/>
      <c r="AP231" s="475"/>
      <c r="AQ231" s="395">
        <f>0.7%+0.05%+0.14%</f>
        <v>0.0089</v>
      </c>
      <c r="AR231" s="447">
        <f t="shared" si="30"/>
        <v>626284</v>
      </c>
      <c r="AS231" s="145"/>
      <c r="AT231" s="145">
        <v>100</v>
      </c>
      <c r="AU231" s="145"/>
      <c r="AV231" s="145"/>
      <c r="AW231" s="145"/>
      <c r="AX231" s="145"/>
      <c r="AY231" s="223"/>
      <c r="BA231" s="145">
        <v>196284</v>
      </c>
      <c r="BB231" s="145"/>
      <c r="BC231" s="145">
        <v>430000</v>
      </c>
      <c r="BD231" s="145"/>
      <c r="BE231" s="145"/>
      <c r="BZ231" s="385" t="s">
        <v>260</v>
      </c>
      <c r="CA231" s="385" t="s">
        <v>271</v>
      </c>
      <c r="CB231" s="385" t="s">
        <v>261</v>
      </c>
      <c r="CE231" s="204"/>
    </row>
    <row r="232" s="385" customFormat="1" customHeight="1" spans="1:83">
      <c r="A232" s="385">
        <v>165</v>
      </c>
      <c r="C232" s="146">
        <v>45027</v>
      </c>
      <c r="D232" s="385">
        <v>20230003244</v>
      </c>
      <c r="F232" s="456" t="s">
        <v>2549</v>
      </c>
      <c r="G232" s="448" t="s">
        <v>2550</v>
      </c>
      <c r="H232" s="1030" t="s">
        <v>2551</v>
      </c>
      <c r="I232" s="441" t="s">
        <v>2552</v>
      </c>
      <c r="J232" s="385">
        <v>107.62</v>
      </c>
      <c r="K232" s="385">
        <v>107.62</v>
      </c>
      <c r="L232" s="385">
        <v>5566.5</v>
      </c>
      <c r="M232" s="389">
        <v>599067</v>
      </c>
      <c r="N232" s="145"/>
      <c r="O232" s="390">
        <v>549602.75</v>
      </c>
      <c r="P232" s="1035" t="s">
        <v>2553</v>
      </c>
      <c r="Q232" s="476">
        <v>45564</v>
      </c>
      <c r="R232" s="145"/>
      <c r="S232" s="393"/>
      <c r="T232" s="393" t="s">
        <v>2550</v>
      </c>
      <c r="U232" s="393" t="s">
        <v>370</v>
      </c>
      <c r="V232" s="145">
        <v>20000</v>
      </c>
      <c r="W232" s="393" t="s">
        <v>809</v>
      </c>
      <c r="X232" s="145">
        <f>35000+184067</f>
        <v>219067</v>
      </c>
      <c r="Y232" s="471" t="s">
        <v>1925</v>
      </c>
      <c r="Z232" s="145">
        <v>360000</v>
      </c>
      <c r="AA232" s="146" t="s">
        <v>1409</v>
      </c>
      <c r="AB232" s="145"/>
      <c r="AH232" s="145">
        <f t="shared" si="32"/>
        <v>599067</v>
      </c>
      <c r="AK232" s="390">
        <f t="shared" si="31"/>
        <v>0</v>
      </c>
      <c r="AL232" s="456" t="s">
        <v>2554</v>
      </c>
      <c r="AM232" s="456"/>
      <c r="AN232" s="469"/>
      <c r="AO232" s="469"/>
      <c r="AP232" s="469"/>
      <c r="AQ232" s="395">
        <f>0.6%+0.04%+0.1%</f>
        <v>0.0074</v>
      </c>
      <c r="AR232" s="447">
        <f t="shared" si="30"/>
        <v>599067</v>
      </c>
      <c r="AS232" s="145"/>
      <c r="AT232" s="145"/>
      <c r="AU232" s="145"/>
      <c r="AV232" s="145"/>
      <c r="AW232" s="145"/>
      <c r="AX232" s="145">
        <v>599067</v>
      </c>
      <c r="AY232" s="223"/>
      <c r="BA232" s="145"/>
      <c r="BB232" s="145"/>
      <c r="BC232" s="145"/>
      <c r="BD232" s="145"/>
      <c r="BE232" s="145"/>
      <c r="BZ232" s="385" t="s">
        <v>260</v>
      </c>
      <c r="CA232" s="385" t="s">
        <v>271</v>
      </c>
      <c r="CB232" s="385" t="s">
        <v>261</v>
      </c>
      <c r="CE232" s="204"/>
    </row>
    <row r="233" s="385" customFormat="1" customHeight="1" spans="1:83">
      <c r="A233" s="385">
        <v>166</v>
      </c>
      <c r="C233" s="146">
        <v>45028</v>
      </c>
      <c r="D233" s="385">
        <v>20230003314</v>
      </c>
      <c r="F233" s="456" t="s">
        <v>2555</v>
      </c>
      <c r="G233" s="468" t="s">
        <v>2556</v>
      </c>
      <c r="H233" s="468"/>
      <c r="I233" s="451" t="s">
        <v>2557</v>
      </c>
      <c r="J233" s="385">
        <v>107.98</v>
      </c>
      <c r="K233" s="385">
        <v>107.98</v>
      </c>
      <c r="L233" s="385">
        <v>5547.32</v>
      </c>
      <c r="M233" s="389">
        <v>599000</v>
      </c>
      <c r="N233" s="145"/>
      <c r="O233" s="390">
        <v>549541.28</v>
      </c>
      <c r="P233" s="443" t="s">
        <v>2558</v>
      </c>
      <c r="Q233" s="476">
        <v>45564</v>
      </c>
      <c r="R233" s="145"/>
      <c r="S233" s="393"/>
      <c r="T233" s="393"/>
      <c r="U233" s="393" t="s">
        <v>267</v>
      </c>
      <c r="V233" s="145">
        <v>9000</v>
      </c>
      <c r="W233" s="146" t="s">
        <v>1456</v>
      </c>
      <c r="X233" s="145">
        <v>150000</v>
      </c>
      <c r="Y233" s="471" t="s">
        <v>2257</v>
      </c>
      <c r="Z233" s="145">
        <v>440000</v>
      </c>
      <c r="AA233" s="146" t="s">
        <v>1097</v>
      </c>
      <c r="AB233" s="145"/>
      <c r="AH233" s="145">
        <f t="shared" si="32"/>
        <v>599000</v>
      </c>
      <c r="AK233" s="390">
        <f t="shared" si="31"/>
        <v>0</v>
      </c>
      <c r="AL233" s="456" t="s">
        <v>2559</v>
      </c>
      <c r="AM233" s="456"/>
      <c r="AN233" s="469"/>
      <c r="AO233" s="469"/>
      <c r="AP233" s="469"/>
      <c r="AQ233" s="395">
        <f>0.6%+0.1%</f>
        <v>0.007</v>
      </c>
      <c r="AR233" s="447">
        <f t="shared" si="30"/>
        <v>599000</v>
      </c>
      <c r="AS233" s="145"/>
      <c r="AT233" s="145"/>
      <c r="AU233" s="145"/>
      <c r="AV233" s="145"/>
      <c r="AW233" s="145"/>
      <c r="AX233" s="145"/>
      <c r="AY233" s="223">
        <v>159000</v>
      </c>
      <c r="BA233" s="145">
        <v>440000</v>
      </c>
      <c r="BB233" s="145"/>
      <c r="BC233" s="145"/>
      <c r="BD233" s="145"/>
      <c r="BE233" s="145"/>
      <c r="BZ233" s="385" t="s">
        <v>260</v>
      </c>
      <c r="CA233" s="385" t="s">
        <v>271</v>
      </c>
      <c r="CB233" s="385" t="s">
        <v>261</v>
      </c>
      <c r="CE233" s="204"/>
    </row>
    <row r="234" s="385" customFormat="1" customHeight="1" spans="1:83">
      <c r="A234" s="385">
        <v>167</v>
      </c>
      <c r="C234" s="146">
        <v>45096</v>
      </c>
      <c r="D234" s="524" t="s">
        <v>2560</v>
      </c>
      <c r="F234" s="456" t="s">
        <v>2561</v>
      </c>
      <c r="G234" s="448" t="s">
        <v>2562</v>
      </c>
      <c r="H234" s="1030" t="s">
        <v>2563</v>
      </c>
      <c r="I234" s="441" t="s">
        <v>2564</v>
      </c>
      <c r="J234" s="385">
        <v>107.62</v>
      </c>
      <c r="K234" s="385">
        <v>107.62</v>
      </c>
      <c r="L234" s="385">
        <v>5863.22</v>
      </c>
      <c r="M234" s="464">
        <v>631000</v>
      </c>
      <c r="N234" s="465">
        <v>5843</v>
      </c>
      <c r="O234" s="473">
        <v>578899.08</v>
      </c>
      <c r="P234" s="474" t="s">
        <v>2565</v>
      </c>
      <c r="Q234" s="476">
        <v>45564</v>
      </c>
      <c r="R234" s="145"/>
      <c r="S234" s="393"/>
      <c r="T234" s="393"/>
      <c r="U234" s="393" t="s">
        <v>2566</v>
      </c>
      <c r="V234" s="145">
        <v>20000</v>
      </c>
      <c r="W234" s="393" t="s">
        <v>1316</v>
      </c>
      <c r="X234" s="145">
        <v>21000</v>
      </c>
      <c r="Y234" s="146" t="s">
        <v>976</v>
      </c>
      <c r="Z234" s="145">
        <v>90000</v>
      </c>
      <c r="AA234" s="393" t="s">
        <v>1027</v>
      </c>
      <c r="AB234" s="145">
        <v>500000</v>
      </c>
      <c r="AC234" s="393" t="s">
        <v>1009</v>
      </c>
      <c r="AD234" s="146"/>
      <c r="AE234" s="146"/>
      <c r="AF234" s="146"/>
      <c r="AG234" s="146"/>
      <c r="AH234" s="145">
        <f t="shared" si="32"/>
        <v>631000</v>
      </c>
      <c r="AK234" s="390">
        <f t="shared" si="31"/>
        <v>0</v>
      </c>
      <c r="AL234" s="456" t="s">
        <v>2567</v>
      </c>
      <c r="AM234" s="456"/>
      <c r="AN234" s="475"/>
      <c r="AO234" s="475"/>
      <c r="AP234" s="475"/>
      <c r="AQ234" s="395">
        <f>0.4%+0.08%</f>
        <v>0.0048</v>
      </c>
      <c r="AR234" s="447">
        <f t="shared" si="30"/>
        <v>631000</v>
      </c>
      <c r="AS234" s="145"/>
      <c r="AT234" s="145"/>
      <c r="AU234" s="145"/>
      <c r="AV234" s="145"/>
      <c r="AW234" s="145"/>
      <c r="AX234" s="145"/>
      <c r="AY234" s="223"/>
      <c r="AZ234" s="125"/>
      <c r="BA234" s="145">
        <v>131000</v>
      </c>
      <c r="BB234" s="145">
        <v>500000</v>
      </c>
      <c r="BC234" s="145"/>
      <c r="BD234" s="145"/>
      <c r="BE234" s="145"/>
      <c r="BZ234" s="385" t="s">
        <v>260</v>
      </c>
      <c r="CA234" s="385" t="s">
        <v>271</v>
      </c>
      <c r="CB234" s="385" t="s">
        <v>261</v>
      </c>
      <c r="CE234" s="204"/>
    </row>
    <row r="235" s="385" customFormat="1" customHeight="1" spans="1:83">
      <c r="A235" s="385">
        <v>168</v>
      </c>
      <c r="C235" s="146">
        <v>45115</v>
      </c>
      <c r="D235" s="385">
        <v>20230005717</v>
      </c>
      <c r="F235" s="456" t="s">
        <v>2568</v>
      </c>
      <c r="G235" s="448" t="s">
        <v>2569</v>
      </c>
      <c r="H235" s="1030" t="s">
        <v>2570</v>
      </c>
      <c r="I235" s="451" t="s">
        <v>2571</v>
      </c>
      <c r="J235" s="385">
        <v>107.98</v>
      </c>
      <c r="K235" s="385">
        <v>107.98</v>
      </c>
      <c r="L235" s="385">
        <v>5881.59</v>
      </c>
      <c r="M235" s="389">
        <v>635094</v>
      </c>
      <c r="N235" s="145">
        <v>5831.59</v>
      </c>
      <c r="O235" s="390">
        <v>582655.05</v>
      </c>
      <c r="P235" s="443" t="s">
        <v>2572</v>
      </c>
      <c r="Q235" s="476">
        <v>45564</v>
      </c>
      <c r="R235" s="145"/>
      <c r="S235" s="393"/>
      <c r="T235" s="393"/>
      <c r="U235" s="393" t="s">
        <v>408</v>
      </c>
      <c r="V235" s="145">
        <f>20000+50000+65094</f>
        <v>135094</v>
      </c>
      <c r="W235" s="393" t="s">
        <v>858</v>
      </c>
      <c r="X235" s="145">
        <v>500000</v>
      </c>
      <c r="Y235" s="393" t="s">
        <v>446</v>
      </c>
      <c r="Z235" s="145"/>
      <c r="AA235" s="146"/>
      <c r="AB235" s="145"/>
      <c r="AH235" s="145">
        <f t="shared" si="32"/>
        <v>635094</v>
      </c>
      <c r="AK235" s="390">
        <f t="shared" si="31"/>
        <v>0</v>
      </c>
      <c r="AL235" s="456" t="s">
        <v>2573</v>
      </c>
      <c r="AM235" s="456"/>
      <c r="AN235" s="469"/>
      <c r="AO235" s="469"/>
      <c r="AP235" s="469"/>
      <c r="AQ235" s="395">
        <f>0.5%+0.04%+0.14%</f>
        <v>0.0068</v>
      </c>
      <c r="AR235" s="447">
        <f t="shared" si="30"/>
        <v>635094</v>
      </c>
      <c r="AS235" s="145"/>
      <c r="AT235" s="145"/>
      <c r="AU235" s="145"/>
      <c r="AV235" s="145"/>
      <c r="AW235" s="145"/>
      <c r="AX235" s="145"/>
      <c r="AY235" s="223"/>
      <c r="BA235" s="145">
        <v>135094</v>
      </c>
      <c r="BB235" s="145">
        <v>500000</v>
      </c>
      <c r="BC235" s="145"/>
      <c r="BD235" s="145"/>
      <c r="BE235" s="145"/>
      <c r="BZ235" s="385" t="s">
        <v>260</v>
      </c>
      <c r="CA235" s="385" t="s">
        <v>271</v>
      </c>
      <c r="CB235" s="385" t="s">
        <v>261</v>
      </c>
      <c r="CE235" s="204"/>
    </row>
    <row r="236" s="385" customFormat="1" customHeight="1" spans="1:83">
      <c r="A236" s="385">
        <v>169</v>
      </c>
      <c r="C236" s="146">
        <v>45077</v>
      </c>
      <c r="D236" s="385">
        <v>20230004619</v>
      </c>
      <c r="F236" s="456" t="s">
        <v>2574</v>
      </c>
      <c r="G236" s="385" t="s">
        <v>2575</v>
      </c>
      <c r="H236" s="1026" t="s">
        <v>2576</v>
      </c>
      <c r="I236" s="441" t="s">
        <v>2577</v>
      </c>
      <c r="J236" s="385">
        <v>107.62</v>
      </c>
      <c r="K236" s="385">
        <v>107.62</v>
      </c>
      <c r="L236" s="385">
        <v>5918.84</v>
      </c>
      <c r="M236" s="389">
        <v>636986</v>
      </c>
      <c r="N236" s="145">
        <v>5868.84</v>
      </c>
      <c r="O236" s="390">
        <v>584390.83</v>
      </c>
      <c r="P236" s="443" t="s">
        <v>2578</v>
      </c>
      <c r="Q236" s="476">
        <v>45585</v>
      </c>
      <c r="R236" s="145"/>
      <c r="S236" s="393"/>
      <c r="T236" s="393"/>
      <c r="U236" s="393" t="s">
        <v>294</v>
      </c>
      <c r="V236" s="145">
        <v>20000</v>
      </c>
      <c r="W236" s="393" t="s">
        <v>1389</v>
      </c>
      <c r="X236" s="145">
        <v>216986</v>
      </c>
      <c r="Y236" s="466" t="s">
        <v>341</v>
      </c>
      <c r="Z236" s="145">
        <v>170000</v>
      </c>
      <c r="AA236" s="385" t="s">
        <v>2579</v>
      </c>
      <c r="AB236" s="145">
        <v>230000</v>
      </c>
      <c r="AC236" s="393" t="s">
        <v>1624</v>
      </c>
      <c r="AH236" s="145">
        <f t="shared" si="32"/>
        <v>636986</v>
      </c>
      <c r="AK236" s="390">
        <f t="shared" si="31"/>
        <v>0</v>
      </c>
      <c r="AL236" s="456" t="s">
        <v>2580</v>
      </c>
      <c r="AM236" s="456"/>
      <c r="AQ236" s="395">
        <f>0.4%+0.05%+0.14%</f>
        <v>0.0059</v>
      </c>
      <c r="AR236" s="447">
        <f t="shared" si="30"/>
        <v>636986</v>
      </c>
      <c r="AS236" s="145"/>
      <c r="AT236" s="145"/>
      <c r="AU236" s="145"/>
      <c r="AV236" s="145"/>
      <c r="AW236" s="145"/>
      <c r="AX236" s="145"/>
      <c r="AY236" s="223"/>
      <c r="AZ236" s="125">
        <v>406986</v>
      </c>
      <c r="BA236" s="145"/>
      <c r="BB236" s="145">
        <v>230000</v>
      </c>
      <c r="BC236" s="145"/>
      <c r="BD236" s="145"/>
      <c r="BE236" s="145"/>
      <c r="BZ236" s="385" t="s">
        <v>260</v>
      </c>
      <c r="CA236" s="385" t="s">
        <v>271</v>
      </c>
      <c r="CB236" s="385" t="s">
        <v>261</v>
      </c>
      <c r="CE236" s="204"/>
    </row>
    <row r="237" s="385" customFormat="1" customHeight="1" spans="1:83">
      <c r="A237" s="385">
        <v>170</v>
      </c>
      <c r="C237" s="539">
        <v>45078</v>
      </c>
      <c r="D237" s="385">
        <v>20230005387</v>
      </c>
      <c r="F237" s="456" t="s">
        <v>2581</v>
      </c>
      <c r="G237" s="385" t="s">
        <v>2582</v>
      </c>
      <c r="I237" s="451" t="s">
        <v>2583</v>
      </c>
      <c r="J237" s="385">
        <v>107.98</v>
      </c>
      <c r="K237" s="385">
        <v>107.98</v>
      </c>
      <c r="L237" s="385">
        <f>M237/K237</f>
        <v>5907.41804037785</v>
      </c>
      <c r="M237" s="389">
        <v>637883</v>
      </c>
      <c r="N237" s="145">
        <v>5857.42</v>
      </c>
      <c r="O237" s="390">
        <v>585213.76</v>
      </c>
      <c r="P237" s="443" t="s">
        <v>2584</v>
      </c>
      <c r="Q237" s="476">
        <v>45585</v>
      </c>
      <c r="R237" s="145"/>
      <c r="S237" s="393"/>
      <c r="T237" s="393"/>
      <c r="U237" s="393"/>
      <c r="V237" s="145">
        <v>97883</v>
      </c>
      <c r="W237" s="393" t="s">
        <v>2585</v>
      </c>
      <c r="X237" s="145">
        <v>30000</v>
      </c>
      <c r="Y237" s="393" t="s">
        <v>1057</v>
      </c>
      <c r="Z237" s="145">
        <v>510000</v>
      </c>
      <c r="AA237" s="393" t="s">
        <v>1009</v>
      </c>
      <c r="AB237" s="145"/>
      <c r="AH237" s="145">
        <f t="shared" si="32"/>
        <v>637883</v>
      </c>
      <c r="AK237" s="390">
        <f t="shared" si="31"/>
        <v>0</v>
      </c>
      <c r="AL237" s="456"/>
      <c r="AM237" s="456"/>
      <c r="AQ237" s="395">
        <f>0.4%+0.02%+0.08%</f>
        <v>0.005</v>
      </c>
      <c r="AR237" s="447">
        <f t="shared" si="30"/>
        <v>637883</v>
      </c>
      <c r="AS237" s="145"/>
      <c r="AT237" s="145"/>
      <c r="AU237" s="145"/>
      <c r="AV237" s="145"/>
      <c r="AW237" s="145"/>
      <c r="AX237" s="145"/>
      <c r="AY237" s="223"/>
      <c r="AZ237" s="125"/>
      <c r="BA237" s="145">
        <v>127883</v>
      </c>
      <c r="BB237" s="145">
        <v>510000</v>
      </c>
      <c r="BC237" s="145"/>
      <c r="BD237" s="145"/>
      <c r="BE237" s="145"/>
      <c r="BZ237" s="385" t="s">
        <v>260</v>
      </c>
      <c r="CA237" s="385" t="s">
        <v>271</v>
      </c>
      <c r="CB237" s="385" t="s">
        <v>261</v>
      </c>
      <c r="CE237" s="204"/>
    </row>
    <row r="238" s="385" customFormat="1" customHeight="1" spans="1:83">
      <c r="A238" s="385">
        <v>171</v>
      </c>
      <c r="C238" s="146">
        <v>45069</v>
      </c>
      <c r="D238" s="385">
        <v>20230004337</v>
      </c>
      <c r="F238" s="1026" t="s">
        <v>2586</v>
      </c>
      <c r="G238" s="385" t="s">
        <v>2124</v>
      </c>
      <c r="I238" s="441" t="s">
        <v>2587</v>
      </c>
      <c r="J238" s="385">
        <v>107.62</v>
      </c>
      <c r="K238" s="385">
        <v>107.62</v>
      </c>
      <c r="L238" s="385">
        <v>5696</v>
      </c>
      <c r="M238" s="389">
        <v>613003</v>
      </c>
      <c r="N238" s="145">
        <v>5615.35</v>
      </c>
      <c r="O238" s="390">
        <v>562388.07</v>
      </c>
      <c r="P238" s="443" t="s">
        <v>2588</v>
      </c>
      <c r="Q238" s="476">
        <v>45585</v>
      </c>
      <c r="R238" s="145"/>
      <c r="S238" s="393"/>
      <c r="T238" s="393"/>
      <c r="U238" s="393" t="s">
        <v>2208</v>
      </c>
      <c r="V238" s="145">
        <v>20000</v>
      </c>
      <c r="W238" s="146" t="s">
        <v>846</v>
      </c>
      <c r="X238" s="145">
        <v>73003</v>
      </c>
      <c r="Y238" s="466" t="s">
        <v>2266</v>
      </c>
      <c r="Z238" s="145">
        <v>30000</v>
      </c>
      <c r="AA238" s="385" t="s">
        <v>1008</v>
      </c>
      <c r="AB238" s="145">
        <v>490000</v>
      </c>
      <c r="AC238" s="393" t="s">
        <v>1926</v>
      </c>
      <c r="AH238" s="145">
        <f t="shared" si="32"/>
        <v>613003</v>
      </c>
      <c r="AK238" s="390">
        <f t="shared" si="31"/>
        <v>0</v>
      </c>
      <c r="AL238" s="385">
        <v>17609969189</v>
      </c>
      <c r="AM238" s="456"/>
      <c r="AQ238" s="395">
        <f>0.6%+0.06%+0.14%</f>
        <v>0.008</v>
      </c>
      <c r="AR238" s="447">
        <f t="shared" si="30"/>
        <v>613003</v>
      </c>
      <c r="AS238" s="145"/>
      <c r="AT238" s="145"/>
      <c r="AU238" s="145"/>
      <c r="AV238" s="145"/>
      <c r="AW238" s="145"/>
      <c r="AX238" s="145"/>
      <c r="AY238" s="223"/>
      <c r="AZ238" s="125">
        <v>123003</v>
      </c>
      <c r="BA238" s="145">
        <v>490000</v>
      </c>
      <c r="BB238" s="145"/>
      <c r="BC238" s="145"/>
      <c r="BD238" s="145"/>
      <c r="BE238" s="145"/>
      <c r="BZ238" s="385" t="s">
        <v>260</v>
      </c>
      <c r="CA238" s="385" t="s">
        <v>271</v>
      </c>
      <c r="CB238" s="385" t="s">
        <v>261</v>
      </c>
      <c r="CE238" s="204"/>
    </row>
    <row r="239" s="385" customFormat="1" customHeight="1" spans="1:83">
      <c r="A239" s="385">
        <v>172</v>
      </c>
      <c r="C239" s="146">
        <v>45121</v>
      </c>
      <c r="D239" s="385">
        <v>20230005922</v>
      </c>
      <c r="F239" s="456" t="s">
        <v>2589</v>
      </c>
      <c r="G239" s="385" t="s">
        <v>2590</v>
      </c>
      <c r="H239" s="1026" t="s">
        <v>2591</v>
      </c>
      <c r="I239" s="451" t="s">
        <v>2592</v>
      </c>
      <c r="J239" s="385">
        <v>107.98</v>
      </c>
      <c r="K239" s="385">
        <v>107.98</v>
      </c>
      <c r="L239" s="385">
        <v>5910</v>
      </c>
      <c r="M239" s="389">
        <v>638162</v>
      </c>
      <c r="N239" s="145">
        <v>5903.93</v>
      </c>
      <c r="O239" s="390">
        <v>585469.72</v>
      </c>
      <c r="P239" s="443" t="s">
        <v>2593</v>
      </c>
      <c r="Q239" s="476">
        <v>45585</v>
      </c>
      <c r="R239" s="145"/>
      <c r="S239" s="393"/>
      <c r="T239" s="393"/>
      <c r="U239" s="393" t="s">
        <v>277</v>
      </c>
      <c r="V239" s="145">
        <f>20000+238162</f>
        <v>258162</v>
      </c>
      <c r="W239" s="393" t="s">
        <v>2594</v>
      </c>
      <c r="X239" s="145">
        <v>380000</v>
      </c>
      <c r="Y239" s="393" t="s">
        <v>2595</v>
      </c>
      <c r="Z239" s="145"/>
      <c r="AB239" s="145"/>
      <c r="AH239" s="145">
        <f t="shared" si="32"/>
        <v>638162</v>
      </c>
      <c r="AK239" s="390">
        <f t="shared" si="31"/>
        <v>0</v>
      </c>
      <c r="AL239" s="456" t="s">
        <v>2596</v>
      </c>
      <c r="AM239" s="456"/>
      <c r="AQ239" s="395">
        <f>0.5%+0.05%+0.14%</f>
        <v>0.0069</v>
      </c>
      <c r="AR239" s="447">
        <f t="shared" si="30"/>
        <v>638162</v>
      </c>
      <c r="AS239" s="145"/>
      <c r="AT239" s="145">
        <v>100</v>
      </c>
      <c r="AU239" s="145"/>
      <c r="AV239" s="145"/>
      <c r="AW239" s="145"/>
      <c r="AX239" s="145"/>
      <c r="AY239" s="223"/>
      <c r="BA239" s="145">
        <v>258162</v>
      </c>
      <c r="BB239" s="145">
        <v>380000</v>
      </c>
      <c r="BC239" s="145"/>
      <c r="BD239" s="145"/>
      <c r="BE239" s="145"/>
      <c r="BZ239" s="385" t="s">
        <v>260</v>
      </c>
      <c r="CA239" s="385" t="s">
        <v>271</v>
      </c>
      <c r="CB239" s="385" t="s">
        <v>261</v>
      </c>
      <c r="CE239" s="204"/>
    </row>
    <row r="240" s="385" customFormat="1" customHeight="1" spans="1:83">
      <c r="A240" s="385">
        <v>173</v>
      </c>
      <c r="C240" s="146">
        <v>45206</v>
      </c>
      <c r="D240" s="385">
        <v>20230008557</v>
      </c>
      <c r="F240" s="456" t="s">
        <v>2597</v>
      </c>
      <c r="G240" s="385" t="s">
        <v>2598</v>
      </c>
      <c r="H240" s="1026" t="s">
        <v>2599</v>
      </c>
      <c r="I240" s="441" t="s">
        <v>2600</v>
      </c>
      <c r="J240" s="385">
        <v>107.62</v>
      </c>
      <c r="K240" s="385">
        <v>107.62</v>
      </c>
      <c r="L240" s="385">
        <v>5946.85</v>
      </c>
      <c r="M240" s="389">
        <v>640000</v>
      </c>
      <c r="N240" s="145">
        <v>5936.02</v>
      </c>
      <c r="O240" s="390">
        <v>587155.96</v>
      </c>
      <c r="P240" s="443" t="s">
        <v>2601</v>
      </c>
      <c r="Q240" s="476">
        <v>45585</v>
      </c>
      <c r="R240" s="145"/>
      <c r="S240" s="393"/>
      <c r="T240" s="393"/>
      <c r="U240" s="393" t="s">
        <v>2160</v>
      </c>
      <c r="V240" s="145">
        <v>20000</v>
      </c>
      <c r="W240" s="393" t="s">
        <v>2602</v>
      </c>
      <c r="X240" s="145">
        <f>20000+2000</f>
        <v>22000</v>
      </c>
      <c r="Y240" s="393" t="s">
        <v>314</v>
      </c>
      <c r="Z240" s="145">
        <v>150000</v>
      </c>
      <c r="AA240" s="385" t="s">
        <v>314</v>
      </c>
      <c r="AB240" s="145">
        <v>110000</v>
      </c>
      <c r="AC240" s="385" t="s">
        <v>867</v>
      </c>
      <c r="AD240" s="385">
        <v>138000</v>
      </c>
      <c r="AE240" s="385" t="s">
        <v>959</v>
      </c>
      <c r="AF240" s="145">
        <v>200000</v>
      </c>
      <c r="AG240" s="393" t="s">
        <v>355</v>
      </c>
      <c r="AH240" s="145">
        <f t="shared" si="32"/>
        <v>640000</v>
      </c>
      <c r="AK240" s="390">
        <f t="shared" si="31"/>
        <v>0</v>
      </c>
      <c r="AL240" s="456"/>
      <c r="AM240" s="456"/>
      <c r="AQ240" s="395">
        <f>0.7%+0.02%+0.12%</f>
        <v>0.0084</v>
      </c>
      <c r="AR240" s="447">
        <f t="shared" si="30"/>
        <v>640000</v>
      </c>
      <c r="AS240" s="145"/>
      <c r="AT240" s="145"/>
      <c r="AU240" s="145"/>
      <c r="AV240" s="145"/>
      <c r="AW240" s="145"/>
      <c r="AX240" s="145"/>
      <c r="AY240" s="223"/>
      <c r="BA240" s="145"/>
      <c r="BB240" s="145"/>
      <c r="BC240" s="145"/>
      <c r="BD240" s="145">
        <v>440000</v>
      </c>
      <c r="BE240" s="145"/>
      <c r="BF240" s="385">
        <v>200000</v>
      </c>
      <c r="BZ240" s="385" t="s">
        <v>260</v>
      </c>
      <c r="CA240" s="385" t="s">
        <v>271</v>
      </c>
      <c r="CB240" s="385" t="s">
        <v>261</v>
      </c>
      <c r="CE240" s="204"/>
    </row>
    <row r="241" s="385" customFormat="1" ht="50" customHeight="1" spans="1:88">
      <c r="A241" s="385">
        <v>174</v>
      </c>
      <c r="C241" s="146">
        <v>45225</v>
      </c>
      <c r="D241" s="385">
        <v>20230009213</v>
      </c>
      <c r="F241" s="456" t="s">
        <v>2603</v>
      </c>
      <c r="G241" s="142" t="s">
        <v>2604</v>
      </c>
      <c r="H241" s="1026" t="s">
        <v>2605</v>
      </c>
      <c r="I241" s="441" t="s">
        <v>2606</v>
      </c>
      <c r="J241" s="385">
        <v>107.98</v>
      </c>
      <c r="K241" s="385">
        <v>107.98</v>
      </c>
      <c r="L241" s="385">
        <v>5980</v>
      </c>
      <c r="M241" s="389">
        <v>645720</v>
      </c>
      <c r="N241" s="145">
        <v>5924.6</v>
      </c>
      <c r="O241" s="390">
        <v>592403.67</v>
      </c>
      <c r="P241" s="443" t="s">
        <v>2607</v>
      </c>
      <c r="Q241" s="476">
        <v>45585</v>
      </c>
      <c r="R241" s="145"/>
      <c r="S241" s="393"/>
      <c r="T241" s="393"/>
      <c r="U241" s="445" t="s">
        <v>2608</v>
      </c>
      <c r="V241" s="145">
        <f>5000-5000</f>
        <v>0</v>
      </c>
      <c r="W241" s="393"/>
      <c r="X241" s="145">
        <v>20000</v>
      </c>
      <c r="Y241" s="393" t="s">
        <v>314</v>
      </c>
      <c r="Z241" s="145">
        <v>89720</v>
      </c>
      <c r="AA241" s="385" t="s">
        <v>867</v>
      </c>
      <c r="AB241" s="145">
        <v>20000</v>
      </c>
      <c r="AC241" s="385" t="s">
        <v>959</v>
      </c>
      <c r="AD241" s="145">
        <v>516000</v>
      </c>
      <c r="AE241" s="393" t="s">
        <v>624</v>
      </c>
      <c r="AH241" s="145">
        <f t="shared" si="32"/>
        <v>645720</v>
      </c>
      <c r="AK241" s="390">
        <f t="shared" si="31"/>
        <v>0</v>
      </c>
      <c r="AL241" s="456" t="s">
        <v>2609</v>
      </c>
      <c r="AM241" s="456"/>
      <c r="AQ241" s="540">
        <f>0.4%+0.08%</f>
        <v>0.0048</v>
      </c>
      <c r="AR241" s="447">
        <f t="shared" si="30"/>
        <v>645720</v>
      </c>
      <c r="AS241" s="145"/>
      <c r="AT241" s="145"/>
      <c r="AU241" s="145"/>
      <c r="AV241" s="145"/>
      <c r="AW241" s="145"/>
      <c r="AX241" s="145"/>
      <c r="AY241" s="223"/>
      <c r="BA241" s="145"/>
      <c r="BB241" s="145"/>
      <c r="BC241" s="145"/>
      <c r="BD241" s="145">
        <v>129720</v>
      </c>
      <c r="BE241" s="145"/>
      <c r="BG241" s="385">
        <v>516000</v>
      </c>
      <c r="BZ241" s="385" t="s">
        <v>260</v>
      </c>
      <c r="CA241" s="385" t="s">
        <v>271</v>
      </c>
      <c r="CB241" s="385" t="s">
        <v>261</v>
      </c>
      <c r="CE241" s="204"/>
    </row>
    <row r="242" s="385" customFormat="1" customHeight="1" spans="1:88">
      <c r="A242" s="385">
        <v>175</v>
      </c>
      <c r="C242" s="146">
        <v>45312</v>
      </c>
      <c r="D242" s="385">
        <v>20240000479</v>
      </c>
      <c r="F242" s="456" t="s">
        <v>2610</v>
      </c>
      <c r="G242" s="385" t="s">
        <v>2611</v>
      </c>
      <c r="H242" s="1026" t="s">
        <v>2612</v>
      </c>
      <c r="I242" s="441" t="s">
        <v>2613</v>
      </c>
      <c r="J242" s="385">
        <v>107.62</v>
      </c>
      <c r="K242" s="385">
        <v>107.62</v>
      </c>
      <c r="L242" s="385">
        <v>7015.42</v>
      </c>
      <c r="M242" s="389">
        <v>755000</v>
      </c>
      <c r="N242" s="145">
        <v>6952</v>
      </c>
      <c r="O242" s="390">
        <v>692660.55</v>
      </c>
      <c r="P242" s="443" t="s">
        <v>2614</v>
      </c>
      <c r="Q242" s="476">
        <v>45585</v>
      </c>
      <c r="R242" s="145"/>
      <c r="S242" s="393"/>
      <c r="T242" s="393"/>
      <c r="U242" s="393" t="s">
        <v>277</v>
      </c>
      <c r="V242" s="145">
        <v>20000</v>
      </c>
      <c r="W242" s="393" t="s">
        <v>1754</v>
      </c>
      <c r="X242" s="145">
        <v>531000</v>
      </c>
      <c r="Y242" s="466" t="s">
        <v>2615</v>
      </c>
      <c r="Z242" s="145">
        <v>204000</v>
      </c>
      <c r="AA242" s="385" t="s">
        <v>611</v>
      </c>
      <c r="AB242" s="145"/>
      <c r="AH242" s="145">
        <f t="shared" si="32"/>
        <v>755000</v>
      </c>
      <c r="AK242" s="390">
        <f t="shared" si="31"/>
        <v>0</v>
      </c>
      <c r="AL242" s="456" t="s">
        <v>2616</v>
      </c>
      <c r="AM242" s="456"/>
      <c r="AQ242" s="166">
        <f>0.5%+0.04%+0.12%</f>
        <v>0.0066</v>
      </c>
      <c r="AR242" s="447">
        <f t="shared" si="30"/>
        <v>755000</v>
      </c>
      <c r="AS242" s="145"/>
      <c r="AT242" s="145"/>
      <c r="AU242" s="145"/>
      <c r="AV242" s="145"/>
      <c r="AW242" s="145"/>
      <c r="AX242" s="145"/>
      <c r="AY242" s="223"/>
      <c r="BA242" s="145"/>
      <c r="BB242" s="145"/>
      <c r="BC242" s="145"/>
      <c r="BD242" s="145"/>
      <c r="BE242" s="145"/>
      <c r="BG242" s="385">
        <v>755000</v>
      </c>
      <c r="BZ242" s="385" t="s">
        <v>260</v>
      </c>
      <c r="CA242" s="385" t="s">
        <v>271</v>
      </c>
      <c r="CB242" s="385" t="s">
        <v>261</v>
      </c>
      <c r="CE242" s="204"/>
    </row>
    <row r="243" s="385" customFormat="1" customHeight="1" spans="1:88">
      <c r="A243" s="385">
        <v>176</v>
      </c>
      <c r="C243" s="146">
        <v>45154</v>
      </c>
      <c r="D243" s="385">
        <v>20230006969</v>
      </c>
      <c r="F243" s="456" t="s">
        <v>2617</v>
      </c>
      <c r="G243" s="385" t="s">
        <v>2618</v>
      </c>
      <c r="H243" s="1026" t="s">
        <v>2619</v>
      </c>
      <c r="I243" s="441" t="s">
        <v>2620</v>
      </c>
      <c r="J243" s="385">
        <v>107.98</v>
      </c>
      <c r="K243" s="385">
        <v>107.98</v>
      </c>
      <c r="L243" s="385">
        <v>6945.73</v>
      </c>
      <c r="M243" s="389">
        <v>750000</v>
      </c>
      <c r="N243" s="145">
        <v>6932</v>
      </c>
      <c r="O243" s="390">
        <v>688073.39</v>
      </c>
      <c r="P243" s="443" t="s">
        <v>2621</v>
      </c>
      <c r="Q243" s="476">
        <v>45585</v>
      </c>
      <c r="R243" s="145"/>
      <c r="S243" s="393"/>
      <c r="T243" s="393"/>
      <c r="U243" s="393" t="s">
        <v>561</v>
      </c>
      <c r="V243" s="145">
        <v>20000</v>
      </c>
      <c r="W243" s="393" t="s">
        <v>917</v>
      </c>
      <c r="X243" s="145">
        <f>200000+5000</f>
        <v>205000</v>
      </c>
      <c r="Y243" s="466" t="s">
        <v>1881</v>
      </c>
      <c r="Z243" s="145">
        <f>500000+25000</f>
        <v>525000</v>
      </c>
      <c r="AA243" s="393" t="s">
        <v>2622</v>
      </c>
      <c r="AB243" s="145"/>
      <c r="AH243" s="145">
        <f t="shared" si="32"/>
        <v>750000</v>
      </c>
      <c r="AK243" s="390">
        <f t="shared" si="31"/>
        <v>0</v>
      </c>
      <c r="AL243" s="456" t="s">
        <v>2623</v>
      </c>
      <c r="AM243" s="456"/>
      <c r="AQ243" s="395">
        <f>0.7%+0.05%+0.14%</f>
        <v>0.0089</v>
      </c>
      <c r="AR243" s="447">
        <f t="shared" si="30"/>
        <v>750000</v>
      </c>
      <c r="AS243" s="145"/>
      <c r="AT243" s="145"/>
      <c r="AU243" s="145"/>
      <c r="AV243" s="145"/>
      <c r="AW243" s="145"/>
      <c r="AX243" s="145"/>
      <c r="AY243" s="223"/>
      <c r="BA243" s="145"/>
      <c r="BB243" s="145">
        <v>750000</v>
      </c>
      <c r="BC243" s="145"/>
      <c r="BD243" s="145"/>
      <c r="BE243" s="145"/>
      <c r="BZ243" s="385" t="s">
        <v>260</v>
      </c>
      <c r="CA243" s="385" t="s">
        <v>271</v>
      </c>
      <c r="CB243" s="385" t="s">
        <v>261</v>
      </c>
      <c r="CE243" s="204"/>
    </row>
    <row r="244" s="204" customFormat="1" customHeight="1" spans="1:88">
      <c r="F244" s="479"/>
      <c r="G244" s="204" t="s">
        <v>2624</v>
      </c>
      <c r="I244" s="481" t="s">
        <v>2625</v>
      </c>
      <c r="J244" s="204">
        <v>14.47</v>
      </c>
      <c r="L244" s="204">
        <v>2291.64</v>
      </c>
      <c r="M244" s="430">
        <v>33160</v>
      </c>
      <c r="N244" s="431"/>
      <c r="O244" s="432"/>
      <c r="P244" s="518"/>
      <c r="Q244" s="520"/>
      <c r="R244" s="431"/>
      <c r="S244" s="434"/>
      <c r="T244" s="434"/>
      <c r="U244" s="434"/>
      <c r="V244" s="431">
        <v>2000</v>
      </c>
      <c r="W244" s="434">
        <v>45542</v>
      </c>
      <c r="X244" s="431">
        <v>31160</v>
      </c>
      <c r="Y244" s="434">
        <v>45870</v>
      </c>
      <c r="Z244" s="431"/>
      <c r="AB244" s="431"/>
      <c r="AH244" s="431">
        <f t="shared" si="32"/>
        <v>33160</v>
      </c>
      <c r="AK244" s="432">
        <f t="shared" ref="AK244:AK266" si="33">M244-AH244</f>
        <v>0</v>
      </c>
      <c r="AL244" s="479"/>
      <c r="AM244" s="479"/>
      <c r="AQ244" s="437">
        <v>0.02</v>
      </c>
      <c r="AR244" s="438">
        <f t="shared" si="30"/>
        <v>33160</v>
      </c>
      <c r="AS244" s="431"/>
      <c r="AT244" s="431"/>
      <c r="AU244" s="431"/>
      <c r="AV244" s="431"/>
      <c r="AW244" s="431"/>
      <c r="AX244" s="431"/>
      <c r="AY244" s="242"/>
      <c r="AZ244" s="101"/>
      <c r="BA244" s="431"/>
      <c r="BB244" s="431"/>
      <c r="BC244" s="431"/>
      <c r="BD244" s="431"/>
      <c r="BE244" s="431"/>
      <c r="BS244" s="204">
        <v>33160</v>
      </c>
      <c r="CJ244" s="104"/>
    </row>
    <row r="245" s="204" customFormat="1" customHeight="1" spans="1:88">
      <c r="F245" s="479"/>
      <c r="I245" s="481" t="s">
        <v>2626</v>
      </c>
      <c r="J245" s="204" t="s">
        <v>2627</v>
      </c>
      <c r="M245" s="430"/>
      <c r="N245" s="431"/>
      <c r="O245" s="432"/>
      <c r="P245" s="518"/>
      <c r="Q245" s="520"/>
      <c r="R245" s="431"/>
      <c r="S245" s="434"/>
      <c r="T245" s="434"/>
      <c r="U245" s="434"/>
      <c r="V245" s="431"/>
      <c r="W245" s="484"/>
      <c r="X245" s="431"/>
      <c r="Y245" s="541"/>
      <c r="Z245" s="431"/>
      <c r="AB245" s="431"/>
      <c r="AH245" s="431">
        <f t="shared" si="32"/>
        <v>0</v>
      </c>
      <c r="AK245" s="432">
        <f t="shared" si="33"/>
        <v>0</v>
      </c>
      <c r="AL245" s="479"/>
      <c r="AM245" s="479"/>
      <c r="AQ245" s="489"/>
      <c r="AR245" s="438">
        <f t="shared" si="30"/>
        <v>0</v>
      </c>
      <c r="AS245" s="431"/>
      <c r="AT245" s="431"/>
      <c r="AU245" s="431"/>
      <c r="AV245" s="431"/>
      <c r="AW245" s="431"/>
      <c r="AX245" s="431"/>
      <c r="AY245" s="242"/>
      <c r="AZ245" s="101"/>
      <c r="BA245" s="431"/>
      <c r="BB245" s="431"/>
      <c r="BC245" s="431"/>
      <c r="BD245" s="431"/>
      <c r="BE245" s="431"/>
      <c r="CJ245" s="104"/>
    </row>
    <row r="246" s="204" customFormat="1" customHeight="1" spans="1:88">
      <c r="F246" s="479"/>
      <c r="I246" s="481" t="s">
        <v>2628</v>
      </c>
      <c r="J246" s="204">
        <v>23.24</v>
      </c>
      <c r="L246" s="204">
        <v>2290.88</v>
      </c>
      <c r="M246" s="430"/>
      <c r="N246" s="431">
        <v>53240</v>
      </c>
      <c r="O246" s="432"/>
      <c r="P246" s="518"/>
      <c r="Q246" s="520"/>
      <c r="R246" s="431"/>
      <c r="S246" s="434"/>
      <c r="T246" s="434"/>
      <c r="U246" s="434"/>
      <c r="V246" s="431"/>
      <c r="W246" s="484"/>
      <c r="X246" s="431"/>
      <c r="Y246" s="541"/>
      <c r="Z246" s="431"/>
      <c r="AB246" s="431"/>
      <c r="AH246" s="431">
        <f t="shared" si="32"/>
        <v>0</v>
      </c>
      <c r="AK246" s="432">
        <f t="shared" si="33"/>
        <v>0</v>
      </c>
      <c r="AL246" s="479"/>
      <c r="AM246" s="479"/>
      <c r="AQ246" s="437">
        <v>0.02</v>
      </c>
      <c r="AR246" s="438">
        <f t="shared" si="30"/>
        <v>0</v>
      </c>
      <c r="AS246" s="431"/>
      <c r="AT246" s="431"/>
      <c r="AU246" s="431"/>
      <c r="AV246" s="431"/>
      <c r="AW246" s="431"/>
      <c r="AX246" s="431"/>
      <c r="AY246" s="242"/>
      <c r="AZ246" s="101"/>
      <c r="BA246" s="431"/>
      <c r="BB246" s="431"/>
      <c r="BC246" s="431"/>
      <c r="BD246" s="431"/>
      <c r="BE246" s="431"/>
      <c r="CJ246" s="104"/>
    </row>
    <row r="247" s="204" customFormat="1" customHeight="1" spans="1:88">
      <c r="F247" s="479"/>
      <c r="I247" s="481" t="s">
        <v>2629</v>
      </c>
      <c r="J247" s="204">
        <v>58.35</v>
      </c>
      <c r="M247" s="430"/>
      <c r="N247" s="431"/>
      <c r="O247" s="432"/>
      <c r="P247" s="518"/>
      <c r="Q247" s="520"/>
      <c r="R247" s="431"/>
      <c r="S247" s="434"/>
      <c r="T247" s="434"/>
      <c r="U247" s="434"/>
      <c r="V247" s="431"/>
      <c r="W247" s="484"/>
      <c r="X247" s="431"/>
      <c r="Y247" s="541"/>
      <c r="Z247" s="431"/>
      <c r="AB247" s="431"/>
      <c r="AH247" s="431">
        <f t="shared" si="32"/>
        <v>0</v>
      </c>
      <c r="AK247" s="432">
        <f t="shared" si="33"/>
        <v>0</v>
      </c>
      <c r="AL247" s="479"/>
      <c r="AM247" s="479"/>
      <c r="AQ247" s="437">
        <v>0.02</v>
      </c>
      <c r="AR247" s="438">
        <f t="shared" si="30"/>
        <v>0</v>
      </c>
      <c r="AS247" s="431"/>
      <c r="AT247" s="431"/>
      <c r="AU247" s="431"/>
      <c r="AV247" s="431"/>
      <c r="AW247" s="431"/>
      <c r="AX247" s="431"/>
      <c r="AY247" s="242"/>
      <c r="AZ247" s="101"/>
      <c r="BA247" s="431"/>
      <c r="BB247" s="431"/>
      <c r="BC247" s="431"/>
      <c r="BD247" s="431"/>
      <c r="BE247" s="431"/>
      <c r="CJ247" s="104"/>
    </row>
    <row r="248" s="204" customFormat="1" customHeight="1" spans="1:88">
      <c r="F248" s="479"/>
      <c r="I248" s="481" t="s">
        <v>2630</v>
      </c>
      <c r="J248" s="204">
        <v>56.59</v>
      </c>
      <c r="M248" s="430"/>
      <c r="N248" s="431"/>
      <c r="O248" s="432"/>
      <c r="P248" s="518"/>
      <c r="Q248" s="520"/>
      <c r="R248" s="431"/>
      <c r="S248" s="434"/>
      <c r="T248" s="434"/>
      <c r="U248" s="434"/>
      <c r="V248" s="431"/>
      <c r="W248" s="484"/>
      <c r="X248" s="431"/>
      <c r="Y248" s="541"/>
      <c r="Z248" s="431"/>
      <c r="AB248" s="431"/>
      <c r="AH248" s="431">
        <f t="shared" si="32"/>
        <v>0</v>
      </c>
      <c r="AK248" s="432">
        <f t="shared" si="33"/>
        <v>0</v>
      </c>
      <c r="AL248" s="479"/>
      <c r="AM248" s="479"/>
      <c r="AQ248" s="437">
        <v>0.02</v>
      </c>
      <c r="AR248" s="438">
        <f t="shared" si="30"/>
        <v>0</v>
      </c>
      <c r="AS248" s="431"/>
      <c r="AT248" s="431"/>
      <c r="AU248" s="431"/>
      <c r="AV248" s="431"/>
      <c r="AW248" s="431"/>
      <c r="AX248" s="431"/>
      <c r="AY248" s="242"/>
      <c r="AZ248" s="101"/>
      <c r="BA248" s="431"/>
      <c r="BB248" s="431"/>
      <c r="BC248" s="431"/>
      <c r="BD248" s="431"/>
      <c r="BE248" s="431"/>
      <c r="CJ248" s="104"/>
    </row>
    <row r="249" s="204" customFormat="1" customHeight="1" spans="1:88">
      <c r="F249" s="479"/>
      <c r="G249" s="204" t="s">
        <v>2631</v>
      </c>
      <c r="I249" s="481" t="s">
        <v>2632</v>
      </c>
      <c r="J249" s="204">
        <v>23.24</v>
      </c>
      <c r="L249" s="204">
        <v>2290.88</v>
      </c>
      <c r="M249" s="430">
        <v>53240</v>
      </c>
      <c r="N249" s="431">
        <v>53240</v>
      </c>
      <c r="O249" s="432"/>
      <c r="P249" s="518"/>
      <c r="Q249" s="520"/>
      <c r="R249" s="431"/>
      <c r="S249" s="434"/>
      <c r="T249" s="434"/>
      <c r="U249" s="434"/>
      <c r="V249" s="431">
        <v>53240</v>
      </c>
      <c r="W249" s="434" t="s">
        <v>2633</v>
      </c>
      <c r="X249" s="431"/>
      <c r="Y249" s="541"/>
      <c r="Z249" s="431"/>
      <c r="AB249" s="431"/>
      <c r="AH249" s="431">
        <f t="shared" si="32"/>
        <v>53240</v>
      </c>
      <c r="AK249" s="432">
        <f t="shared" si="33"/>
        <v>0</v>
      </c>
      <c r="AL249" s="479"/>
      <c r="AM249" s="479"/>
      <c r="AQ249" s="437">
        <v>0.02</v>
      </c>
      <c r="AR249" s="438">
        <f t="shared" si="30"/>
        <v>53240</v>
      </c>
      <c r="AS249" s="431"/>
      <c r="AT249" s="431"/>
      <c r="AU249" s="431"/>
      <c r="AV249" s="431"/>
      <c r="AW249" s="431"/>
      <c r="AX249" s="431"/>
      <c r="AY249" s="242"/>
      <c r="AZ249" s="101"/>
      <c r="BA249" s="431"/>
      <c r="BB249" s="431"/>
      <c r="BC249" s="431"/>
      <c r="BD249" s="431"/>
      <c r="BE249" s="431"/>
      <c r="BR249" s="204">
        <v>53240</v>
      </c>
      <c r="CJ249" s="104"/>
    </row>
    <row r="250" s="204" customFormat="1" customHeight="1" spans="1:88">
      <c r="F250" s="479"/>
      <c r="G250" s="204" t="s">
        <v>2634</v>
      </c>
      <c r="I250" s="481" t="s">
        <v>2635</v>
      </c>
      <c r="J250" s="204">
        <v>14.44</v>
      </c>
      <c r="L250" s="204">
        <v>2290.86</v>
      </c>
      <c r="M250" s="430">
        <v>33080</v>
      </c>
      <c r="N250" s="431"/>
      <c r="O250" s="432"/>
      <c r="P250" s="518"/>
      <c r="Q250" s="520"/>
      <c r="R250" s="431"/>
      <c r="S250" s="434"/>
      <c r="T250" s="434"/>
      <c r="U250" s="434"/>
      <c r="V250" s="431">
        <v>33080</v>
      </c>
      <c r="W250" s="434">
        <v>45537</v>
      </c>
      <c r="X250" s="431"/>
      <c r="Y250" s="541"/>
      <c r="Z250" s="431"/>
      <c r="AB250" s="431"/>
      <c r="AH250" s="431">
        <f t="shared" si="32"/>
        <v>33080</v>
      </c>
      <c r="AK250" s="432">
        <f t="shared" si="33"/>
        <v>0</v>
      </c>
      <c r="AL250" s="479"/>
      <c r="AM250" s="479"/>
      <c r="AQ250" s="437">
        <v>0.02</v>
      </c>
      <c r="AR250" s="438">
        <f t="shared" si="30"/>
        <v>33080</v>
      </c>
      <c r="AS250" s="431"/>
      <c r="AT250" s="431"/>
      <c r="AU250" s="431"/>
      <c r="AV250" s="431"/>
      <c r="AW250" s="431"/>
      <c r="AX250" s="431"/>
      <c r="AY250" s="242"/>
      <c r="AZ250" s="101"/>
      <c r="BA250" s="431"/>
      <c r="BB250" s="431"/>
      <c r="BC250" s="431"/>
      <c r="BD250" s="431"/>
      <c r="BE250" s="431"/>
      <c r="BN250" s="204">
        <v>33080</v>
      </c>
      <c r="CJ250" s="104"/>
    </row>
    <row r="251" s="204" customFormat="1" customHeight="1" spans="1:88">
      <c r="F251" s="479"/>
      <c r="G251" s="204" t="s">
        <v>2636</v>
      </c>
      <c r="I251" s="481" t="s">
        <v>2637</v>
      </c>
      <c r="J251" s="204">
        <v>14.47</v>
      </c>
      <c r="L251" s="204">
        <v>2291.64</v>
      </c>
      <c r="M251" s="430">
        <v>33160</v>
      </c>
      <c r="N251" s="431"/>
      <c r="O251" s="432"/>
      <c r="P251" s="518"/>
      <c r="Q251" s="520"/>
      <c r="R251" s="431"/>
      <c r="S251" s="434"/>
      <c r="T251" s="434"/>
      <c r="U251" s="434"/>
      <c r="V251" s="431">
        <v>5000</v>
      </c>
      <c r="W251" s="434">
        <v>45537</v>
      </c>
      <c r="X251" s="431">
        <v>28160</v>
      </c>
      <c r="Y251" s="541">
        <v>45542</v>
      </c>
      <c r="Z251" s="431"/>
      <c r="AB251" s="431"/>
      <c r="AH251" s="431">
        <f t="shared" si="32"/>
        <v>33160</v>
      </c>
      <c r="AK251" s="432">
        <f t="shared" si="33"/>
        <v>0</v>
      </c>
      <c r="AL251" s="479"/>
      <c r="AM251" s="479"/>
      <c r="AQ251" s="437">
        <v>0.02</v>
      </c>
      <c r="AR251" s="438">
        <f t="shared" si="30"/>
        <v>33160</v>
      </c>
      <c r="AS251" s="431"/>
      <c r="AT251" s="431"/>
      <c r="AU251" s="431"/>
      <c r="AV251" s="431"/>
      <c r="AW251" s="431"/>
      <c r="AX251" s="431"/>
      <c r="AY251" s="242"/>
      <c r="AZ251" s="101"/>
      <c r="BA251" s="431"/>
      <c r="BB251" s="431"/>
      <c r="BC251" s="431"/>
      <c r="BD251" s="431"/>
      <c r="BE251" s="431"/>
      <c r="BN251" s="204">
        <v>33160</v>
      </c>
      <c r="CJ251" s="104"/>
    </row>
    <row r="252" s="204" customFormat="1" customHeight="1" spans="1:88">
      <c r="F252" s="479"/>
      <c r="G252" s="429" t="s">
        <v>1732</v>
      </c>
      <c r="I252" s="481" t="s">
        <v>2638</v>
      </c>
      <c r="J252" s="204">
        <v>14.47</v>
      </c>
      <c r="L252" s="204">
        <v>2291.64</v>
      </c>
      <c r="M252" s="430">
        <v>33160</v>
      </c>
      <c r="N252" s="431"/>
      <c r="O252" s="432"/>
      <c r="P252" s="518"/>
      <c r="Q252" s="520"/>
      <c r="R252" s="431"/>
      <c r="S252" s="434"/>
      <c r="T252" s="434"/>
      <c r="U252" s="434"/>
      <c r="V252" s="431">
        <v>2000</v>
      </c>
      <c r="W252" s="541" t="s">
        <v>2639</v>
      </c>
      <c r="X252" s="431">
        <v>31160</v>
      </c>
      <c r="Y252" s="434" t="s">
        <v>2640</v>
      </c>
      <c r="Z252" s="431"/>
      <c r="AA252" s="434"/>
      <c r="AB252" s="431"/>
      <c r="AH252" s="431">
        <f t="shared" si="32"/>
        <v>33160</v>
      </c>
      <c r="AK252" s="432">
        <f t="shared" si="33"/>
        <v>0</v>
      </c>
      <c r="AL252" s="479"/>
      <c r="AM252" s="479"/>
      <c r="AQ252" s="437">
        <v>0.02</v>
      </c>
      <c r="AR252" s="438">
        <f t="shared" si="30"/>
        <v>33160</v>
      </c>
      <c r="AS252" s="431"/>
      <c r="AT252" s="431"/>
      <c r="AU252" s="431"/>
      <c r="AV252" s="431"/>
      <c r="AW252" s="431"/>
      <c r="AX252" s="431"/>
      <c r="AY252" s="242"/>
      <c r="AZ252" s="101"/>
      <c r="BA252" s="431"/>
      <c r="BB252" s="431"/>
      <c r="BC252" s="431"/>
      <c r="BD252" s="431"/>
      <c r="BE252" s="431"/>
      <c r="BQ252" s="204">
        <v>33160</v>
      </c>
      <c r="CJ252" s="104"/>
    </row>
    <row r="253" s="204" customFormat="1" customHeight="1" spans="1:88">
      <c r="F253" s="479"/>
      <c r="H253" s="204" t="s">
        <v>1196</v>
      </c>
      <c r="I253" s="481" t="s">
        <v>2641</v>
      </c>
      <c r="J253" s="204">
        <v>23.24</v>
      </c>
      <c r="L253" s="204">
        <v>2290.88</v>
      </c>
      <c r="M253" s="430"/>
      <c r="N253" s="431">
        <v>53240</v>
      </c>
      <c r="O253" s="432"/>
      <c r="P253" s="518"/>
      <c r="Q253" s="520"/>
      <c r="R253" s="431"/>
      <c r="S253" s="434"/>
      <c r="T253" s="434"/>
      <c r="U253" s="434"/>
      <c r="V253" s="431"/>
      <c r="W253" s="484"/>
      <c r="X253" s="431"/>
      <c r="Y253" s="541"/>
      <c r="Z253" s="431"/>
      <c r="AB253" s="431"/>
      <c r="AH253" s="431">
        <f t="shared" si="32"/>
        <v>0</v>
      </c>
      <c r="AK253" s="432">
        <f t="shared" si="33"/>
        <v>0</v>
      </c>
      <c r="AL253" s="479"/>
      <c r="AM253" s="479"/>
      <c r="AQ253" s="437">
        <v>0.02</v>
      </c>
      <c r="AR253" s="438">
        <f t="shared" si="30"/>
        <v>0</v>
      </c>
      <c r="AS253" s="431"/>
      <c r="AT253" s="431"/>
      <c r="AU253" s="431"/>
      <c r="AV253" s="431"/>
      <c r="AW253" s="431"/>
      <c r="AX253" s="431"/>
      <c r="AY253" s="242"/>
      <c r="AZ253" s="101"/>
      <c r="BA253" s="431"/>
      <c r="BB253" s="431"/>
      <c r="BC253" s="431"/>
      <c r="BD253" s="431"/>
      <c r="BE253" s="431"/>
      <c r="CJ253" s="104"/>
    </row>
    <row r="254" s="204" customFormat="1" customHeight="1" spans="1:88">
      <c r="F254" s="479"/>
      <c r="I254" s="481" t="s">
        <v>2642</v>
      </c>
      <c r="J254" s="204">
        <v>56.55</v>
      </c>
      <c r="M254" s="430"/>
      <c r="N254" s="431"/>
      <c r="O254" s="432"/>
      <c r="P254" s="518"/>
      <c r="Q254" s="520"/>
      <c r="R254" s="431"/>
      <c r="S254" s="434"/>
      <c r="T254" s="434"/>
      <c r="U254" s="434"/>
      <c r="V254" s="431"/>
      <c r="W254" s="484"/>
      <c r="X254" s="431"/>
      <c r="Y254" s="541"/>
      <c r="Z254" s="431"/>
      <c r="AB254" s="431"/>
      <c r="AH254" s="431">
        <f t="shared" si="32"/>
        <v>0</v>
      </c>
      <c r="AK254" s="432">
        <f t="shared" si="33"/>
        <v>0</v>
      </c>
      <c r="AL254" s="479"/>
      <c r="AM254" s="479"/>
      <c r="AQ254" s="437">
        <v>0.02</v>
      </c>
      <c r="AR254" s="438">
        <f t="shared" si="30"/>
        <v>0</v>
      </c>
      <c r="AS254" s="431"/>
      <c r="AT254" s="431"/>
      <c r="AU254" s="431"/>
      <c r="AV254" s="431"/>
      <c r="AW254" s="431"/>
      <c r="AX254" s="431"/>
      <c r="AY254" s="242"/>
      <c r="AZ254" s="101"/>
      <c r="BA254" s="431"/>
      <c r="BB254" s="431"/>
      <c r="BC254" s="431"/>
      <c r="BD254" s="431"/>
      <c r="BE254" s="431"/>
      <c r="CJ254" s="104"/>
    </row>
    <row r="255" s="204" customFormat="1" customHeight="1" spans="1:88">
      <c r="F255" s="479"/>
      <c r="I255" s="481" t="s">
        <v>2643</v>
      </c>
      <c r="J255" s="204">
        <v>58.72</v>
      </c>
      <c r="M255" s="430"/>
      <c r="N255" s="431"/>
      <c r="O255" s="432"/>
      <c r="P255" s="518"/>
      <c r="Q255" s="520"/>
      <c r="R255" s="431"/>
      <c r="S255" s="434"/>
      <c r="T255" s="434"/>
      <c r="U255" s="434"/>
      <c r="V255" s="431"/>
      <c r="W255" s="484"/>
      <c r="X255" s="431"/>
      <c r="Y255" s="541"/>
      <c r="Z255" s="431"/>
      <c r="AB255" s="431"/>
      <c r="AH255" s="431">
        <f t="shared" si="32"/>
        <v>0</v>
      </c>
      <c r="AK255" s="432">
        <f t="shared" si="33"/>
        <v>0</v>
      </c>
      <c r="AL255" s="479"/>
      <c r="AM255" s="479"/>
      <c r="AQ255" s="437">
        <v>0.02</v>
      </c>
      <c r="AR255" s="438">
        <f t="shared" si="30"/>
        <v>0</v>
      </c>
      <c r="AS255" s="431"/>
      <c r="AT255" s="431"/>
      <c r="AU255" s="431"/>
      <c r="AV255" s="431"/>
      <c r="AW255" s="431"/>
      <c r="AX255" s="431"/>
      <c r="AY255" s="242"/>
      <c r="AZ255" s="101"/>
      <c r="BA255" s="431"/>
      <c r="BB255" s="431"/>
      <c r="BC255" s="431"/>
      <c r="BD255" s="431"/>
      <c r="BE255" s="431"/>
      <c r="CJ255" s="104"/>
    </row>
    <row r="256" s="204" customFormat="1" customHeight="1" spans="1:88">
      <c r="F256" s="479"/>
      <c r="G256" s="204" t="s">
        <v>2295</v>
      </c>
      <c r="I256" s="481" t="s">
        <v>2644</v>
      </c>
      <c r="J256" s="204">
        <v>23.24</v>
      </c>
      <c r="L256" s="204">
        <v>2290.88</v>
      </c>
      <c r="M256" s="430">
        <v>53240</v>
      </c>
      <c r="N256" s="431"/>
      <c r="O256" s="432"/>
      <c r="P256" s="518"/>
      <c r="Q256" s="520"/>
      <c r="R256" s="431"/>
      <c r="S256" s="434"/>
      <c r="T256" s="434"/>
      <c r="U256" s="434"/>
      <c r="V256" s="431">
        <v>53240</v>
      </c>
      <c r="W256" s="434">
        <v>45541</v>
      </c>
      <c r="X256" s="431"/>
      <c r="Y256" s="541"/>
      <c r="Z256" s="431"/>
      <c r="AB256" s="431"/>
      <c r="AH256" s="431">
        <f t="shared" si="32"/>
        <v>53240</v>
      </c>
      <c r="AK256" s="432">
        <f t="shared" si="33"/>
        <v>0</v>
      </c>
      <c r="AL256" s="479"/>
      <c r="AM256" s="479"/>
      <c r="AQ256" s="437">
        <v>0.02</v>
      </c>
      <c r="AR256" s="438">
        <f t="shared" si="30"/>
        <v>53240</v>
      </c>
      <c r="AS256" s="431"/>
      <c r="AT256" s="431"/>
      <c r="AU256" s="431"/>
      <c r="AV256" s="431"/>
      <c r="AW256" s="431"/>
      <c r="AX256" s="431"/>
      <c r="AY256" s="242"/>
      <c r="AZ256" s="101"/>
      <c r="BA256" s="431"/>
      <c r="BB256" s="431"/>
      <c r="BC256" s="431"/>
      <c r="BD256" s="431"/>
      <c r="BE256" s="431"/>
      <c r="BN256" s="204">
        <v>53240</v>
      </c>
      <c r="CJ256" s="104"/>
    </row>
    <row r="257" s="204" customFormat="1" customHeight="1" spans="1:89">
      <c r="F257" s="479"/>
      <c r="G257" s="204" t="s">
        <v>2645</v>
      </c>
      <c r="I257" s="481" t="s">
        <v>2646</v>
      </c>
      <c r="J257" s="204">
        <v>14.44</v>
      </c>
      <c r="L257" s="204">
        <v>2290.86</v>
      </c>
      <c r="M257" s="430">
        <v>33080</v>
      </c>
      <c r="N257" s="431"/>
      <c r="O257" s="432"/>
      <c r="P257" s="518"/>
      <c r="Q257" s="520"/>
      <c r="R257" s="431"/>
      <c r="S257" s="434"/>
      <c r="T257" s="434"/>
      <c r="U257" s="434"/>
      <c r="V257" s="431">
        <v>2000</v>
      </c>
      <c r="W257" s="434">
        <v>45537</v>
      </c>
      <c r="X257" s="431">
        <v>31080</v>
      </c>
      <c r="Y257" s="541">
        <v>45554</v>
      </c>
      <c r="Z257" s="431"/>
      <c r="AB257" s="431"/>
      <c r="AH257" s="431">
        <f t="shared" ref="AH257:AH311" si="34">V257+X257+Z257+AB257+AD257+AF257</f>
        <v>33080</v>
      </c>
      <c r="AK257" s="432">
        <f t="shared" si="33"/>
        <v>0</v>
      </c>
      <c r="AL257" s="479"/>
      <c r="AM257" s="479"/>
      <c r="AQ257" s="437">
        <v>0.02</v>
      </c>
      <c r="AR257" s="438">
        <f t="shared" si="30"/>
        <v>33080</v>
      </c>
      <c r="AS257" s="431"/>
      <c r="AT257" s="431"/>
      <c r="AU257" s="431"/>
      <c r="AV257" s="431"/>
      <c r="AW257" s="431"/>
      <c r="AX257" s="431"/>
      <c r="AY257" s="242"/>
      <c r="AZ257" s="101"/>
      <c r="BA257" s="431"/>
      <c r="BB257" s="431"/>
      <c r="BC257" s="431"/>
      <c r="BD257" s="431"/>
      <c r="BE257" s="431"/>
      <c r="BN257" s="204">
        <v>33080</v>
      </c>
      <c r="CJ257" s="104"/>
    </row>
    <row r="258" s="204" customFormat="1" customHeight="1" spans="1:89">
      <c r="F258" s="479"/>
      <c r="G258" s="204" t="s">
        <v>2647</v>
      </c>
      <c r="I258" s="481" t="s">
        <v>2648</v>
      </c>
      <c r="J258" s="204">
        <v>14.47</v>
      </c>
      <c r="L258" s="204">
        <v>2291.64</v>
      </c>
      <c r="M258" s="430">
        <v>33160</v>
      </c>
      <c r="N258" s="431"/>
      <c r="O258" s="432"/>
      <c r="P258" s="518"/>
      <c r="Q258" s="520"/>
      <c r="R258" s="431"/>
      <c r="S258" s="434"/>
      <c r="T258" s="434"/>
      <c r="U258" s="434"/>
      <c r="V258" s="431">
        <v>5000</v>
      </c>
      <c r="W258" s="434">
        <v>45537</v>
      </c>
      <c r="X258" s="431">
        <v>28160</v>
      </c>
      <c r="Y258" s="541">
        <v>45544</v>
      </c>
      <c r="Z258" s="431"/>
      <c r="AB258" s="431"/>
      <c r="AH258" s="431">
        <f t="shared" si="34"/>
        <v>33160</v>
      </c>
      <c r="AK258" s="432">
        <f t="shared" si="33"/>
        <v>0</v>
      </c>
      <c r="AL258" s="479"/>
      <c r="AM258" s="479"/>
      <c r="AQ258" s="437">
        <v>0.02</v>
      </c>
      <c r="AR258" s="438">
        <f t="shared" si="30"/>
        <v>33160</v>
      </c>
      <c r="AS258" s="431"/>
      <c r="AT258" s="431"/>
      <c r="AU258" s="431"/>
      <c r="AV258" s="431"/>
      <c r="AW258" s="431"/>
      <c r="AX258" s="431"/>
      <c r="AY258" s="242"/>
      <c r="AZ258" s="101"/>
      <c r="BA258" s="431"/>
      <c r="BB258" s="431"/>
      <c r="BC258" s="431"/>
      <c r="BD258" s="431"/>
      <c r="BE258" s="431"/>
      <c r="BN258" s="204">
        <v>33160</v>
      </c>
      <c r="CJ258" s="104"/>
    </row>
    <row r="259" s="204" customFormat="1" customHeight="1" spans="1:89">
      <c r="F259" s="479"/>
      <c r="G259" s="204" t="s">
        <v>2649</v>
      </c>
      <c r="I259" s="481" t="s">
        <v>2650</v>
      </c>
      <c r="J259" s="204">
        <v>14.47</v>
      </c>
      <c r="L259" s="204">
        <v>2291.64</v>
      </c>
      <c r="M259" s="430">
        <v>33160</v>
      </c>
      <c r="N259" s="431"/>
      <c r="O259" s="432"/>
      <c r="P259" s="518"/>
      <c r="Q259" s="520"/>
      <c r="R259" s="431"/>
      <c r="S259" s="434"/>
      <c r="T259" s="434"/>
      <c r="U259" s="434"/>
      <c r="V259" s="431">
        <v>33160</v>
      </c>
      <c r="W259" s="434">
        <v>45536</v>
      </c>
      <c r="X259" s="431"/>
      <c r="Y259" s="541"/>
      <c r="Z259" s="431"/>
      <c r="AB259" s="431"/>
      <c r="AH259" s="431">
        <f t="shared" si="34"/>
        <v>33160</v>
      </c>
      <c r="AK259" s="432">
        <f t="shared" si="33"/>
        <v>0</v>
      </c>
      <c r="AL259" s="479"/>
      <c r="AM259" s="479"/>
      <c r="AQ259" s="437">
        <v>0.02</v>
      </c>
      <c r="AR259" s="438">
        <f t="shared" si="30"/>
        <v>33160</v>
      </c>
      <c r="AS259" s="431"/>
      <c r="AT259" s="431"/>
      <c r="AU259" s="431"/>
      <c r="AV259" s="431"/>
      <c r="AW259" s="431"/>
      <c r="AX259" s="431"/>
      <c r="AY259" s="242"/>
      <c r="AZ259" s="101"/>
      <c r="BA259" s="431"/>
      <c r="BB259" s="431"/>
      <c r="BC259" s="431"/>
      <c r="BD259" s="431"/>
      <c r="BE259" s="431"/>
      <c r="BN259" s="204">
        <v>33160</v>
      </c>
      <c r="CJ259" s="104"/>
    </row>
    <row r="260" s="204" customFormat="1" customHeight="1" spans="1:89">
      <c r="F260" s="479"/>
      <c r="I260" s="481" t="s">
        <v>2651</v>
      </c>
      <c r="J260" s="204" t="s">
        <v>2627</v>
      </c>
      <c r="M260" s="430"/>
      <c r="N260" s="431"/>
      <c r="O260" s="432"/>
      <c r="P260" s="518"/>
      <c r="Q260" s="520"/>
      <c r="R260" s="431"/>
      <c r="S260" s="434"/>
      <c r="T260" s="434"/>
      <c r="U260" s="434"/>
      <c r="V260" s="431"/>
      <c r="W260" s="484"/>
      <c r="X260" s="431"/>
      <c r="Y260" s="541"/>
      <c r="Z260" s="431"/>
      <c r="AB260" s="431"/>
      <c r="AH260" s="431">
        <f t="shared" si="34"/>
        <v>0</v>
      </c>
      <c r="AK260" s="432">
        <f t="shared" si="33"/>
        <v>0</v>
      </c>
      <c r="AL260" s="479"/>
      <c r="AM260" s="479"/>
      <c r="AQ260" s="489"/>
      <c r="AR260" s="438">
        <f t="shared" si="30"/>
        <v>0</v>
      </c>
      <c r="AS260" s="431"/>
      <c r="AT260" s="431"/>
      <c r="AU260" s="431"/>
      <c r="AV260" s="431"/>
      <c r="AW260" s="431"/>
      <c r="AX260" s="431"/>
      <c r="AY260" s="242"/>
      <c r="AZ260" s="101"/>
      <c r="BA260" s="431"/>
      <c r="BB260" s="431"/>
      <c r="BC260" s="431"/>
      <c r="BD260" s="431"/>
      <c r="BE260" s="431"/>
      <c r="CJ260" s="104"/>
    </row>
    <row r="261" s="204" customFormat="1" customHeight="1" spans="1:89">
      <c r="F261" s="479"/>
      <c r="G261" s="204" t="s">
        <v>2652</v>
      </c>
      <c r="I261" s="481" t="s">
        <v>2653</v>
      </c>
      <c r="J261" s="204">
        <v>23.24</v>
      </c>
      <c r="L261" s="204">
        <v>2290.88</v>
      </c>
      <c r="M261" s="430">
        <v>53240</v>
      </c>
      <c r="N261" s="431"/>
      <c r="O261" s="432"/>
      <c r="P261" s="518"/>
      <c r="Q261" s="520"/>
      <c r="R261" s="431"/>
      <c r="S261" s="434"/>
      <c r="T261" s="434"/>
      <c r="U261" s="434"/>
      <c r="V261" s="431">
        <v>2000</v>
      </c>
      <c r="W261" s="434">
        <v>45540</v>
      </c>
      <c r="X261" s="431">
        <v>51240</v>
      </c>
      <c r="Y261" s="434" t="s">
        <v>2654</v>
      </c>
      <c r="Z261" s="431"/>
      <c r="AB261" s="431"/>
      <c r="AH261" s="431">
        <f t="shared" si="34"/>
        <v>53240</v>
      </c>
      <c r="AK261" s="432">
        <f t="shared" si="33"/>
        <v>0</v>
      </c>
      <c r="AL261" s="479"/>
      <c r="AM261" s="479"/>
      <c r="AQ261" s="437">
        <v>0.02</v>
      </c>
      <c r="AR261" s="438">
        <f t="shared" si="30"/>
        <v>53240</v>
      </c>
      <c r="AS261" s="431"/>
      <c r="AT261" s="431"/>
      <c r="AU261" s="431"/>
      <c r="AV261" s="431"/>
      <c r="AW261" s="431"/>
      <c r="AX261" s="431"/>
      <c r="AY261" s="242"/>
      <c r="AZ261" s="101"/>
      <c r="BA261" s="431"/>
      <c r="BB261" s="431"/>
      <c r="BC261" s="431"/>
      <c r="BD261" s="431"/>
      <c r="BE261" s="431"/>
      <c r="BO261" s="204">
        <v>53240</v>
      </c>
      <c r="CJ261" s="104"/>
    </row>
    <row r="262" s="204" customFormat="1" customHeight="1" spans="1:89">
      <c r="F262" s="479"/>
      <c r="I262" s="481" t="s">
        <v>2655</v>
      </c>
      <c r="J262" s="204">
        <v>58.72</v>
      </c>
      <c r="M262" s="430"/>
      <c r="N262" s="431"/>
      <c r="O262" s="432"/>
      <c r="P262" s="518"/>
      <c r="Q262" s="520"/>
      <c r="R262" s="431"/>
      <c r="S262" s="434"/>
      <c r="T262" s="434"/>
      <c r="U262" s="434"/>
      <c r="V262" s="431"/>
      <c r="W262" s="484"/>
      <c r="X262" s="431"/>
      <c r="Y262" s="541"/>
      <c r="Z262" s="431"/>
      <c r="AB262" s="431"/>
      <c r="AH262" s="431">
        <f t="shared" si="34"/>
        <v>0</v>
      </c>
      <c r="AK262" s="432">
        <f t="shared" si="33"/>
        <v>0</v>
      </c>
      <c r="AL262" s="479"/>
      <c r="AM262" s="479"/>
      <c r="AQ262" s="437">
        <v>0.02</v>
      </c>
      <c r="AR262" s="438">
        <f t="shared" ref="AR262:AR325" si="35">SUM(AU262:BU262)</f>
        <v>0</v>
      </c>
      <c r="AS262" s="431"/>
      <c r="AT262" s="431"/>
      <c r="AU262" s="431"/>
      <c r="AV262" s="431"/>
      <c r="AW262" s="431"/>
      <c r="AX262" s="431"/>
      <c r="AY262" s="242"/>
      <c r="AZ262" s="101"/>
      <c r="BA262" s="431"/>
      <c r="BB262" s="431"/>
      <c r="BC262" s="431"/>
      <c r="BD262" s="431"/>
      <c r="BE262" s="431"/>
      <c r="CJ262" s="104"/>
    </row>
    <row r="263" s="204" customFormat="1" customHeight="1" spans="1:89">
      <c r="F263" s="479"/>
      <c r="I263" s="481" t="s">
        <v>2656</v>
      </c>
      <c r="J263" s="204">
        <v>57.09</v>
      </c>
      <c r="M263" s="430"/>
      <c r="N263" s="431"/>
      <c r="O263" s="432"/>
      <c r="P263" s="518"/>
      <c r="Q263" s="520"/>
      <c r="R263" s="431"/>
      <c r="S263" s="434"/>
      <c r="T263" s="434"/>
      <c r="U263" s="434"/>
      <c r="V263" s="431"/>
      <c r="W263" s="484"/>
      <c r="X263" s="431"/>
      <c r="Y263" s="541"/>
      <c r="Z263" s="431"/>
      <c r="AB263" s="431"/>
      <c r="AH263" s="431">
        <f t="shared" si="34"/>
        <v>0</v>
      </c>
      <c r="AK263" s="432">
        <f t="shared" si="33"/>
        <v>0</v>
      </c>
      <c r="AL263" s="479"/>
      <c r="AM263" s="479"/>
      <c r="AQ263" s="437">
        <v>0.02</v>
      </c>
      <c r="AR263" s="438">
        <f t="shared" si="35"/>
        <v>0</v>
      </c>
      <c r="AS263" s="431"/>
      <c r="AT263" s="431"/>
      <c r="AU263" s="431"/>
      <c r="AV263" s="431"/>
      <c r="AW263" s="431"/>
      <c r="AX263" s="431"/>
      <c r="AY263" s="242"/>
      <c r="AZ263" s="101"/>
      <c r="BA263" s="431"/>
      <c r="BB263" s="431"/>
      <c r="BC263" s="431"/>
      <c r="BD263" s="431"/>
      <c r="BE263" s="431"/>
      <c r="CJ263" s="104"/>
    </row>
    <row r="264" s="204" customFormat="1" customHeight="1" spans="1:89">
      <c r="F264" s="479"/>
      <c r="G264" s="204" t="s">
        <v>2657</v>
      </c>
      <c r="I264" s="481" t="s">
        <v>2658</v>
      </c>
      <c r="J264" s="204">
        <v>23.24</v>
      </c>
      <c r="L264" s="204">
        <v>2290.88</v>
      </c>
      <c r="M264" s="430">
        <v>53240</v>
      </c>
      <c r="N264" s="431"/>
      <c r="O264" s="432"/>
      <c r="P264" s="518"/>
      <c r="Q264" s="520"/>
      <c r="R264" s="431"/>
      <c r="S264" s="434"/>
      <c r="T264" s="434"/>
      <c r="U264" s="434"/>
      <c r="V264" s="431">
        <v>1000</v>
      </c>
      <c r="W264" s="434" t="s">
        <v>1205</v>
      </c>
      <c r="X264" s="431"/>
      <c r="Y264" s="541"/>
      <c r="Z264" s="431"/>
      <c r="AB264" s="431"/>
      <c r="AH264" s="431">
        <f t="shared" si="34"/>
        <v>1000</v>
      </c>
      <c r="AK264" s="432">
        <f t="shared" si="33"/>
        <v>52240</v>
      </c>
      <c r="AL264" s="479"/>
      <c r="AM264" s="479"/>
      <c r="AQ264" s="437">
        <v>0.02</v>
      </c>
      <c r="AR264" s="438">
        <f t="shared" si="35"/>
        <v>0</v>
      </c>
      <c r="AS264" s="431"/>
      <c r="AT264" s="431"/>
      <c r="AU264" s="431"/>
      <c r="AV264" s="431"/>
      <c r="AW264" s="431"/>
      <c r="AX264" s="431"/>
      <c r="AY264" s="242"/>
      <c r="AZ264" s="101"/>
      <c r="BA264" s="431"/>
      <c r="BB264" s="431"/>
      <c r="BC264" s="431"/>
      <c r="BD264" s="431"/>
      <c r="BE264" s="431"/>
      <c r="CJ264" s="104"/>
    </row>
    <row r="265" s="204" customFormat="1" customHeight="1" spans="1:89">
      <c r="F265" s="479"/>
      <c r="G265" s="204" t="s">
        <v>2659</v>
      </c>
      <c r="I265" s="481" t="s">
        <v>2660</v>
      </c>
      <c r="J265" s="204">
        <v>14.44</v>
      </c>
      <c r="L265" s="204">
        <v>2290.86</v>
      </c>
      <c r="M265" s="430">
        <v>33080</v>
      </c>
      <c r="N265" s="431"/>
      <c r="O265" s="432"/>
      <c r="P265" s="518"/>
      <c r="Q265" s="520"/>
      <c r="R265" s="431"/>
      <c r="S265" s="434"/>
      <c r="T265" s="434"/>
      <c r="U265" s="434"/>
      <c r="V265" s="431">
        <v>3000</v>
      </c>
      <c r="W265" s="434">
        <v>45540</v>
      </c>
      <c r="X265" s="431">
        <f>80+30000</f>
        <v>30080</v>
      </c>
      <c r="Y265" s="541">
        <v>45546</v>
      </c>
      <c r="Z265" s="431"/>
      <c r="AB265" s="431"/>
      <c r="AH265" s="431">
        <f t="shared" si="34"/>
        <v>33080</v>
      </c>
      <c r="AK265" s="432">
        <f t="shared" si="33"/>
        <v>0</v>
      </c>
      <c r="AL265" s="479"/>
      <c r="AM265" s="479"/>
      <c r="AQ265" s="437">
        <v>0.02</v>
      </c>
      <c r="AR265" s="438">
        <f t="shared" si="35"/>
        <v>33080</v>
      </c>
      <c r="AS265" s="431"/>
      <c r="AT265" s="431"/>
      <c r="AU265" s="431"/>
      <c r="AV265" s="431"/>
      <c r="AW265" s="431"/>
      <c r="AX265" s="431"/>
      <c r="AY265" s="242"/>
      <c r="AZ265" s="101"/>
      <c r="BA265" s="431"/>
      <c r="BB265" s="431"/>
      <c r="BC265" s="431"/>
      <c r="BD265" s="431"/>
      <c r="BE265" s="431"/>
      <c r="BN265" s="204">
        <v>33080</v>
      </c>
      <c r="CJ265" s="104"/>
    </row>
    <row r="266" s="204" customFormat="1" customHeight="1" spans="1:89">
      <c r="F266" s="479"/>
      <c r="G266" s="204" t="s">
        <v>2661</v>
      </c>
      <c r="I266" s="481" t="s">
        <v>2662</v>
      </c>
      <c r="J266" s="204">
        <v>14.47</v>
      </c>
      <c r="L266" s="204">
        <v>2291.64</v>
      </c>
      <c r="M266" s="430">
        <v>33160</v>
      </c>
      <c r="N266" s="431"/>
      <c r="O266" s="432"/>
      <c r="P266" s="518"/>
      <c r="Q266" s="520"/>
      <c r="R266" s="431"/>
      <c r="S266" s="434"/>
      <c r="T266" s="434"/>
      <c r="U266" s="434"/>
      <c r="V266" s="431">
        <v>2000</v>
      </c>
      <c r="W266" s="434">
        <v>45541</v>
      </c>
      <c r="X266" s="431">
        <v>31160</v>
      </c>
      <c r="Y266" s="541">
        <v>45546</v>
      </c>
      <c r="Z266" s="431"/>
      <c r="AB266" s="431"/>
      <c r="AH266" s="431">
        <f t="shared" si="34"/>
        <v>33160</v>
      </c>
      <c r="AK266" s="432">
        <f t="shared" si="33"/>
        <v>0</v>
      </c>
      <c r="AL266" s="479"/>
      <c r="AM266" s="479"/>
      <c r="AQ266" s="437">
        <v>0.02</v>
      </c>
      <c r="AR266" s="438">
        <f t="shared" si="35"/>
        <v>33160</v>
      </c>
      <c r="AS266" s="431"/>
      <c r="AT266" s="431"/>
      <c r="AU266" s="431"/>
      <c r="AV266" s="431"/>
      <c r="AW266" s="431"/>
      <c r="AX266" s="431"/>
      <c r="AY266" s="242"/>
      <c r="AZ266" s="101"/>
      <c r="BA266" s="431"/>
      <c r="BB266" s="431"/>
      <c r="BC266" s="431"/>
      <c r="BD266" s="431"/>
      <c r="BE266" s="431"/>
      <c r="BN266" s="204">
        <v>33160</v>
      </c>
      <c r="CJ266" s="104"/>
    </row>
    <row r="267" s="386" customFormat="1" customHeight="1" spans="1:89">
      <c r="A267" s="505">
        <v>177</v>
      </c>
      <c r="B267" s="204"/>
      <c r="C267" s="204"/>
      <c r="D267" s="204"/>
      <c r="E267" s="204" t="s">
        <v>2663</v>
      </c>
      <c r="F267" s="479"/>
      <c r="G267" s="542"/>
      <c r="H267" s="204"/>
      <c r="I267" s="507" t="s">
        <v>2664</v>
      </c>
      <c r="J267" s="204">
        <v>107.96</v>
      </c>
      <c r="K267" s="204"/>
      <c r="L267" s="204"/>
      <c r="M267" s="430"/>
      <c r="N267" s="204">
        <v>8574.47</v>
      </c>
      <c r="O267" s="482"/>
      <c r="P267" s="518"/>
      <c r="Q267" s="520"/>
      <c r="R267" s="431"/>
      <c r="S267" s="434"/>
      <c r="T267" s="434"/>
      <c r="U267" s="434"/>
      <c r="V267" s="510"/>
      <c r="W267" s="543"/>
      <c r="X267" s="510"/>
      <c r="Y267" s="529"/>
      <c r="Z267" s="510"/>
      <c r="AB267" s="510"/>
      <c r="AH267" s="145">
        <f t="shared" si="34"/>
        <v>0</v>
      </c>
      <c r="AI267" s="204"/>
      <c r="AJ267" s="204"/>
      <c r="AK267" s="432">
        <f t="shared" si="31"/>
        <v>0</v>
      </c>
      <c r="AL267" s="479"/>
      <c r="AM267" s="544"/>
      <c r="AN267" s="204"/>
      <c r="AO267" s="204"/>
      <c r="AP267" s="204"/>
      <c r="AQ267" s="509"/>
      <c r="AR267" s="438">
        <f t="shared" si="35"/>
        <v>0</v>
      </c>
      <c r="AS267" s="510"/>
      <c r="AT267" s="510"/>
      <c r="AU267" s="510"/>
      <c r="AV267" s="510"/>
      <c r="AW267" s="510"/>
      <c r="AX267" s="510"/>
      <c r="AY267" s="531"/>
      <c r="BA267" s="510"/>
      <c r="BB267" s="510"/>
      <c r="BC267" s="510"/>
      <c r="BD267" s="510"/>
      <c r="BE267" s="510"/>
      <c r="CE267" s="204"/>
    </row>
    <row r="268" s="385" customFormat="1" customHeight="1" spans="1:89">
      <c r="A268" s="385">
        <v>178</v>
      </c>
      <c r="B268" s="385"/>
      <c r="C268" s="146">
        <v>45652</v>
      </c>
      <c r="D268" s="385">
        <v>20240006225</v>
      </c>
      <c r="E268" s="385" t="s">
        <v>2665</v>
      </c>
      <c r="F268" s="456" t="s">
        <v>2666</v>
      </c>
      <c r="G268" s="385" t="s">
        <v>2667</v>
      </c>
      <c r="H268" s="385"/>
      <c r="I268" s="441" t="s">
        <v>2668</v>
      </c>
      <c r="J268" s="385">
        <v>107.77</v>
      </c>
      <c r="K268" s="385">
        <v>107.77</v>
      </c>
      <c r="L268" s="385"/>
      <c r="M268" s="389">
        <f>1374+923958</f>
        <v>925332</v>
      </c>
      <c r="N268" s="385">
        <v>8586.17</v>
      </c>
      <c r="O268" s="473">
        <v>848928.44</v>
      </c>
      <c r="P268" s="443" t="s">
        <v>2669</v>
      </c>
      <c r="Q268" s="504">
        <v>45736</v>
      </c>
      <c r="R268" s="145"/>
      <c r="S268" s="393"/>
      <c r="T268" s="393"/>
      <c r="U268" s="393"/>
      <c r="V268" s="145">
        <v>923958</v>
      </c>
      <c r="W268" s="393" t="s">
        <v>2670</v>
      </c>
      <c r="X268" s="145">
        <v>1374</v>
      </c>
      <c r="Y268" s="393" t="s">
        <v>786</v>
      </c>
      <c r="Z268" s="145"/>
      <c r="AB268" s="145"/>
      <c r="AH268" s="145">
        <f t="shared" si="34"/>
        <v>925332</v>
      </c>
      <c r="AK268" s="390">
        <f t="shared" si="31"/>
        <v>0</v>
      </c>
      <c r="AL268" s="456"/>
      <c r="AM268" s="456"/>
      <c r="AN268" s="385"/>
      <c r="AO268" s="385"/>
      <c r="AP268" s="385"/>
      <c r="AQ268" s="395"/>
      <c r="AR268" s="447">
        <f t="shared" si="35"/>
        <v>0</v>
      </c>
      <c r="AS268" s="145"/>
      <c r="AT268" s="145"/>
      <c r="AU268" s="145"/>
      <c r="AV268" s="145"/>
      <c r="AW268" s="145"/>
      <c r="AX268" s="145"/>
      <c r="AY268" s="223"/>
      <c r="BA268" s="145"/>
      <c r="BB268" s="145"/>
      <c r="BC268" s="145"/>
      <c r="BD268" s="145"/>
      <c r="BE268" s="145"/>
      <c r="BZ268" s="385" t="s">
        <v>260</v>
      </c>
      <c r="CB268" s="385" t="s">
        <v>261</v>
      </c>
      <c r="CE268" s="204"/>
    </row>
    <row r="269" s="385" customFormat="1" customHeight="1" spans="1:89">
      <c r="A269" s="385">
        <v>179</v>
      </c>
      <c r="B269" s="385"/>
      <c r="C269" s="146">
        <v>45733</v>
      </c>
      <c r="D269" s="385">
        <v>20250001337</v>
      </c>
      <c r="E269" s="385" t="s">
        <v>2671</v>
      </c>
      <c r="F269" s="456" t="s">
        <v>2672</v>
      </c>
      <c r="G269" s="385" t="s">
        <v>2673</v>
      </c>
      <c r="H269" s="385"/>
      <c r="I269" s="451" t="s">
        <v>2674</v>
      </c>
      <c r="J269" s="385">
        <v>108.14</v>
      </c>
      <c r="K269" s="385">
        <v>108.14</v>
      </c>
      <c r="L269" s="385">
        <f>M269/K269</f>
        <v>5400</v>
      </c>
      <c r="M269" s="389">
        <v>583956</v>
      </c>
      <c r="N269" s="385">
        <v>5911.36</v>
      </c>
      <c r="O269" s="473">
        <v>535739.45</v>
      </c>
      <c r="P269" s="443" t="s">
        <v>2675</v>
      </c>
      <c r="Q269" s="504">
        <v>45736</v>
      </c>
      <c r="R269" s="145"/>
      <c r="S269" s="393"/>
      <c r="T269" s="393"/>
      <c r="U269" s="393"/>
      <c r="V269" s="145">
        <v>583956</v>
      </c>
      <c r="W269" s="393" t="s">
        <v>2676</v>
      </c>
      <c r="X269" s="145"/>
      <c r="Y269" s="466"/>
      <c r="Z269" s="145"/>
      <c r="AB269" s="145"/>
      <c r="AH269" s="145">
        <f t="shared" si="34"/>
        <v>583956</v>
      </c>
      <c r="AK269" s="390">
        <f t="shared" si="31"/>
        <v>0</v>
      </c>
      <c r="AL269" s="456" t="s">
        <v>2677</v>
      </c>
      <c r="AM269" s="456"/>
      <c r="AN269" s="385"/>
      <c r="AO269" s="385"/>
      <c r="AP269" s="385"/>
      <c r="AQ269" s="395"/>
      <c r="AR269" s="447">
        <f t="shared" si="35"/>
        <v>0</v>
      </c>
      <c r="AS269" s="145"/>
      <c r="AT269" s="145"/>
      <c r="AU269" s="145"/>
      <c r="AV269" s="145"/>
      <c r="AW269" s="145"/>
      <c r="AX269" s="145"/>
      <c r="AY269" s="223"/>
      <c r="BA269" s="145"/>
      <c r="BB269" s="145"/>
      <c r="BC269" s="145"/>
      <c r="BD269" s="145"/>
      <c r="BE269" s="145"/>
      <c r="BZ269" s="385" t="s">
        <v>260</v>
      </c>
      <c r="CB269" s="385" t="s">
        <v>261</v>
      </c>
      <c r="CE269" s="204"/>
    </row>
    <row r="270" s="385" customFormat="1" customHeight="1" spans="1:89">
      <c r="A270" s="385">
        <v>180</v>
      </c>
      <c r="B270" s="385"/>
      <c r="C270" s="146">
        <v>45652</v>
      </c>
      <c r="D270" s="385">
        <v>20240007463</v>
      </c>
      <c r="E270" s="385" t="s">
        <v>2678</v>
      </c>
      <c r="F270" s="456" t="s">
        <v>2679</v>
      </c>
      <c r="G270" s="385" t="s">
        <v>2680</v>
      </c>
      <c r="H270" s="385"/>
      <c r="I270" s="441" t="s">
        <v>2681</v>
      </c>
      <c r="J270" s="385">
        <v>107.77</v>
      </c>
      <c r="K270" s="385">
        <v>107.77</v>
      </c>
      <c r="L270" s="385">
        <f>M270/K270</f>
        <v>5400</v>
      </c>
      <c r="M270" s="389">
        <v>581958</v>
      </c>
      <c r="N270" s="385">
        <v>5934.81</v>
      </c>
      <c r="O270" s="473">
        <v>533906.42</v>
      </c>
      <c r="P270" s="443" t="s">
        <v>2682</v>
      </c>
      <c r="Q270" s="504">
        <v>45652</v>
      </c>
      <c r="R270" s="145"/>
      <c r="S270" s="393"/>
      <c r="T270" s="393"/>
      <c r="U270" s="393"/>
      <c r="V270" s="145">
        <v>181958</v>
      </c>
      <c r="W270" s="393" t="s">
        <v>2683</v>
      </c>
      <c r="X270" s="145">
        <v>400000</v>
      </c>
      <c r="Y270" s="466" t="s">
        <v>2684</v>
      </c>
      <c r="Z270" s="145"/>
      <c r="AB270" s="145"/>
      <c r="AH270" s="145">
        <f t="shared" si="34"/>
        <v>581958</v>
      </c>
      <c r="AK270" s="390">
        <f t="shared" si="31"/>
        <v>0</v>
      </c>
      <c r="AL270" s="456"/>
      <c r="AM270" s="456"/>
      <c r="AN270" s="385"/>
      <c r="AO270" s="385"/>
      <c r="AP270" s="385"/>
      <c r="AQ270" s="395"/>
      <c r="AR270" s="447">
        <f t="shared" si="35"/>
        <v>0</v>
      </c>
      <c r="AS270" s="145"/>
      <c r="AT270" s="145"/>
      <c r="AU270" s="145"/>
      <c r="AV270" s="145"/>
      <c r="AW270" s="145"/>
      <c r="AX270" s="145"/>
      <c r="AY270" s="223"/>
      <c r="BA270" s="145"/>
      <c r="BB270" s="145"/>
      <c r="BC270" s="145"/>
      <c r="BD270" s="145"/>
      <c r="BE270" s="145"/>
      <c r="BZ270" s="385" t="s">
        <v>260</v>
      </c>
      <c r="CB270" s="385" t="s">
        <v>261</v>
      </c>
      <c r="CE270" s="204"/>
    </row>
    <row r="271" s="386" customFormat="1" customHeight="1" spans="1:89">
      <c r="A271" s="385">
        <v>181</v>
      </c>
      <c r="B271" s="385"/>
      <c r="C271" s="146">
        <v>45778</v>
      </c>
      <c r="D271" s="385">
        <v>20250002252</v>
      </c>
      <c r="E271" s="385" t="s">
        <v>2685</v>
      </c>
      <c r="F271" s="456" t="s">
        <v>2686</v>
      </c>
      <c r="G271" s="385" t="s">
        <v>2687</v>
      </c>
      <c r="H271" s="385"/>
      <c r="I271" s="451" t="s">
        <v>2688</v>
      </c>
      <c r="J271" s="385">
        <v>108.14</v>
      </c>
      <c r="K271" s="385">
        <v>108.14</v>
      </c>
      <c r="L271" s="385">
        <v>5500</v>
      </c>
      <c r="M271" s="389">
        <v>594770</v>
      </c>
      <c r="N271" s="385">
        <v>5500</v>
      </c>
      <c r="O271" s="473"/>
      <c r="P271" s="443"/>
      <c r="Q271" s="391"/>
      <c r="R271" s="145"/>
      <c r="S271" s="393"/>
      <c r="T271" s="393"/>
      <c r="U271" s="393"/>
      <c r="V271" s="145">
        <v>594770</v>
      </c>
      <c r="W271" s="393" t="s">
        <v>2689</v>
      </c>
      <c r="X271" s="145"/>
      <c r="Y271" s="466"/>
      <c r="Z271" s="145"/>
      <c r="AA271" s="385"/>
      <c r="AB271" s="145"/>
      <c r="AC271" s="385"/>
      <c r="AD271" s="385"/>
      <c r="AE271" s="385"/>
      <c r="AF271" s="385"/>
      <c r="AG271" s="385"/>
      <c r="AH271" s="145">
        <f t="shared" si="34"/>
        <v>594770</v>
      </c>
      <c r="AI271" s="385"/>
      <c r="AJ271" s="385"/>
      <c r="AK271" s="390">
        <f t="shared" si="31"/>
        <v>0</v>
      </c>
      <c r="AL271" s="456" t="s">
        <v>2690</v>
      </c>
      <c r="AM271" s="456"/>
      <c r="AN271" s="385"/>
      <c r="AO271" s="385"/>
      <c r="AP271" s="385"/>
      <c r="AQ271" s="395"/>
      <c r="AR271" s="447">
        <f t="shared" si="35"/>
        <v>0</v>
      </c>
      <c r="AS271" s="145"/>
      <c r="AT271" s="145">
        <v>100</v>
      </c>
      <c r="AU271" s="145"/>
      <c r="AV271" s="145"/>
      <c r="AW271" s="145"/>
      <c r="AX271" s="145"/>
      <c r="AY271" s="223"/>
      <c r="AZ271" s="385"/>
      <c r="BA271" s="145"/>
      <c r="BB271" s="145"/>
      <c r="BC271" s="145"/>
      <c r="BD271" s="145"/>
      <c r="BE271" s="145"/>
      <c r="BF271" s="385"/>
      <c r="BG271" s="385"/>
      <c r="BH271" s="385"/>
      <c r="BI271" s="385"/>
      <c r="BJ271" s="385"/>
      <c r="BK271" s="385"/>
      <c r="BL271" s="385"/>
      <c r="BM271" s="385"/>
      <c r="BN271" s="385"/>
      <c r="BO271" s="385"/>
      <c r="BP271" s="385"/>
      <c r="BQ271" s="385"/>
      <c r="BR271" s="385"/>
      <c r="BS271" s="385"/>
      <c r="BT271" s="385"/>
      <c r="BU271" s="385"/>
      <c r="BV271" s="385"/>
      <c r="BW271" s="385"/>
      <c r="BX271" s="385"/>
      <c r="BY271" s="385"/>
      <c r="BZ271" s="385" t="s">
        <v>260</v>
      </c>
      <c r="CA271" s="385"/>
      <c r="CB271" s="385" t="s">
        <v>261</v>
      </c>
      <c r="CC271" s="385"/>
      <c r="CD271" s="385"/>
      <c r="CE271" s="204"/>
      <c r="CF271" s="385"/>
      <c r="CG271" s="385"/>
      <c r="CH271" s="385"/>
      <c r="CI271" s="385"/>
      <c r="CJ271" s="385"/>
      <c r="CK271" s="385"/>
    </row>
    <row r="272" s="385" customFormat="1" customHeight="1" spans="1:89">
      <c r="A272" s="385">
        <v>182</v>
      </c>
      <c r="C272" s="146">
        <v>44966</v>
      </c>
      <c r="D272" s="385">
        <v>20230001167</v>
      </c>
      <c r="F272" s="456" t="s">
        <v>2691</v>
      </c>
      <c r="G272" s="142" t="s">
        <v>2692</v>
      </c>
      <c r="H272" s="1031" t="s">
        <v>2693</v>
      </c>
      <c r="I272" s="441" t="s">
        <v>2694</v>
      </c>
      <c r="J272" s="385">
        <v>107.77</v>
      </c>
      <c r="K272" s="385">
        <v>107.77</v>
      </c>
      <c r="L272" s="385">
        <v>5133.88</v>
      </c>
      <c r="M272" s="389">
        <v>553278</v>
      </c>
      <c r="N272" s="145"/>
      <c r="O272" s="390">
        <v>507594.5</v>
      </c>
      <c r="P272" s="443" t="s">
        <v>2695</v>
      </c>
      <c r="Q272" s="504">
        <v>45564</v>
      </c>
      <c r="R272" s="145"/>
      <c r="S272" s="393"/>
      <c r="T272" s="453" t="s">
        <v>2696</v>
      </c>
      <c r="U272" s="445" t="s">
        <v>2697</v>
      </c>
      <c r="V272" s="145">
        <f>2000</f>
        <v>2000</v>
      </c>
      <c r="W272" s="440" t="s">
        <v>2698</v>
      </c>
      <c r="X272" s="145">
        <v>18000</v>
      </c>
      <c r="Y272" s="466" t="s">
        <v>1280</v>
      </c>
      <c r="Z272" s="145">
        <v>182457</v>
      </c>
      <c r="AA272" s="385" t="s">
        <v>1259</v>
      </c>
      <c r="AB272" s="145">
        <v>100000</v>
      </c>
      <c r="AC272" s="385" t="s">
        <v>2147</v>
      </c>
      <c r="AD272" s="385">
        <f>350000-100000</f>
        <v>250000</v>
      </c>
      <c r="AE272" s="385" t="s">
        <v>1349</v>
      </c>
      <c r="AH272" s="145">
        <f t="shared" si="34"/>
        <v>552457</v>
      </c>
      <c r="AK272" s="390">
        <f t="shared" si="31"/>
        <v>821</v>
      </c>
      <c r="AL272" s="456" t="s">
        <v>2699</v>
      </c>
      <c r="AM272" s="456"/>
      <c r="AN272" s="385"/>
      <c r="AQ272" s="395">
        <f>0.6%+0.1%</f>
        <v>0.007</v>
      </c>
      <c r="AR272" s="447">
        <f t="shared" si="35"/>
        <v>552457</v>
      </c>
      <c r="AS272" s="145"/>
      <c r="AT272" s="145">
        <v>100</v>
      </c>
      <c r="AU272" s="145"/>
      <c r="AV272" s="145">
        <v>202457</v>
      </c>
      <c r="AW272" s="145"/>
      <c r="AX272" s="145"/>
      <c r="AY272" s="223">
        <v>350000</v>
      </c>
      <c r="BA272" s="145"/>
      <c r="BB272" s="145"/>
      <c r="BC272" s="145"/>
      <c r="BD272" s="145"/>
      <c r="BE272" s="145"/>
      <c r="BZ272" s="385" t="s">
        <v>260</v>
      </c>
      <c r="CA272" s="385" t="s">
        <v>271</v>
      </c>
      <c r="CB272" s="385" t="s">
        <v>261</v>
      </c>
      <c r="CE272" s="204"/>
    </row>
    <row r="273" s="385" customFormat="1" customHeight="1" spans="1:83">
      <c r="A273" s="385">
        <v>183</v>
      </c>
      <c r="B273" s="385"/>
      <c r="C273" s="146">
        <v>45840</v>
      </c>
      <c r="D273" s="385">
        <v>20250003540</v>
      </c>
      <c r="E273" s="385" t="s">
        <v>2700</v>
      </c>
      <c r="F273" s="456" t="s">
        <v>2701</v>
      </c>
      <c r="G273" s="385" t="s">
        <v>2702</v>
      </c>
      <c r="H273" s="385"/>
      <c r="I273" s="451" t="s">
        <v>2703</v>
      </c>
      <c r="J273" s="385">
        <v>108.14</v>
      </c>
      <c r="K273" s="385">
        <v>108.14</v>
      </c>
      <c r="L273" s="385">
        <f>M273/K273</f>
        <v>5590.00369890882</v>
      </c>
      <c r="M273" s="389">
        <v>604503</v>
      </c>
      <c r="N273" s="145">
        <v>5589.66</v>
      </c>
      <c r="O273" s="473">
        <v>554589.91</v>
      </c>
      <c r="P273" s="443" t="s">
        <v>2704</v>
      </c>
      <c r="Q273" s="504">
        <v>45846</v>
      </c>
      <c r="R273" s="145"/>
      <c r="S273" s="393"/>
      <c r="T273" s="393"/>
      <c r="U273" s="393"/>
      <c r="V273" s="145">
        <v>604503</v>
      </c>
      <c r="W273" s="393">
        <v>45840</v>
      </c>
      <c r="X273" s="145"/>
      <c r="Y273" s="466"/>
      <c r="Z273" s="145"/>
      <c r="AB273" s="145"/>
      <c r="AH273" s="145">
        <f t="shared" si="34"/>
        <v>604503</v>
      </c>
      <c r="AK273" s="390">
        <f t="shared" si="31"/>
        <v>0</v>
      </c>
      <c r="AL273" s="456" t="s">
        <v>2705</v>
      </c>
      <c r="AM273" s="456" t="s">
        <v>2706</v>
      </c>
      <c r="AN273" s="385"/>
      <c r="AO273" s="385"/>
      <c r="AP273" s="385"/>
      <c r="AQ273" s="395"/>
      <c r="AR273" s="447">
        <f t="shared" si="35"/>
        <v>0</v>
      </c>
      <c r="AS273" s="145"/>
      <c r="AT273" s="145"/>
      <c r="AU273" s="145"/>
      <c r="AV273" s="145"/>
      <c r="AW273" s="145"/>
      <c r="AX273" s="145"/>
      <c r="AY273" s="223"/>
      <c r="BA273" s="145"/>
      <c r="BB273" s="145"/>
      <c r="BC273" s="145"/>
      <c r="BD273" s="145"/>
      <c r="BE273" s="145"/>
      <c r="BZ273" s="385" t="s">
        <v>2707</v>
      </c>
      <c r="CB273" s="385" t="s">
        <v>261</v>
      </c>
    </row>
    <row r="274" s="385" customFormat="1" customHeight="1" spans="1:83">
      <c r="A274" s="385">
        <v>184</v>
      </c>
      <c r="C274" s="146">
        <v>45278</v>
      </c>
      <c r="D274" s="385">
        <v>20230010456</v>
      </c>
      <c r="F274" s="456" t="s">
        <v>2708</v>
      </c>
      <c r="G274" s="385" t="s">
        <v>2709</v>
      </c>
      <c r="I274" s="441" t="s">
        <v>2710</v>
      </c>
      <c r="J274" s="385">
        <v>107.77</v>
      </c>
      <c r="K274" s="385">
        <v>107.77</v>
      </c>
      <c r="L274" s="385">
        <v>5603.568</v>
      </c>
      <c r="M274" s="389">
        <v>603897</v>
      </c>
      <c r="N274" s="145">
        <v>5611.7</v>
      </c>
      <c r="O274" s="390">
        <v>554033.94</v>
      </c>
      <c r="P274" s="443" t="s">
        <v>2711</v>
      </c>
      <c r="Q274" s="504">
        <v>45564</v>
      </c>
      <c r="R274" s="145"/>
      <c r="S274" s="393"/>
      <c r="U274" s="393" t="s">
        <v>656</v>
      </c>
      <c r="V274" s="145">
        <v>20000</v>
      </c>
      <c r="W274" s="393" t="s">
        <v>2712</v>
      </c>
      <c r="X274" s="145">
        <v>183000</v>
      </c>
      <c r="Y274" s="466" t="s">
        <v>2713</v>
      </c>
      <c r="Z274" s="145">
        <v>400000</v>
      </c>
      <c r="AA274" s="393" t="s">
        <v>2714</v>
      </c>
      <c r="AB274" s="145"/>
      <c r="AH274" s="145">
        <f t="shared" si="34"/>
        <v>603000</v>
      </c>
      <c r="AK274" s="390">
        <f t="shared" si="31"/>
        <v>897</v>
      </c>
      <c r="AL274" s="456" t="s">
        <v>2715</v>
      </c>
      <c r="AM274" s="456"/>
      <c r="AQ274" s="395">
        <f>0.4%+0.03%+0.08%</f>
        <v>0.0051</v>
      </c>
      <c r="AR274" s="447">
        <f t="shared" si="35"/>
        <v>603000</v>
      </c>
      <c r="AS274" s="145"/>
      <c r="AT274" s="145"/>
      <c r="AU274" s="145"/>
      <c r="AV274" s="145"/>
      <c r="AW274" s="145"/>
      <c r="AX274" s="145"/>
      <c r="AY274" s="223"/>
      <c r="BA274" s="145"/>
      <c r="BB274" s="145"/>
      <c r="BC274" s="145"/>
      <c r="BD274" s="145"/>
      <c r="BE274" s="145"/>
      <c r="BF274" s="385">
        <v>203000</v>
      </c>
      <c r="BH274" s="385">
        <v>400000</v>
      </c>
      <c r="BZ274" s="385" t="s">
        <v>260</v>
      </c>
      <c r="CA274" s="385" t="s">
        <v>271</v>
      </c>
      <c r="CB274" s="385" t="s">
        <v>261</v>
      </c>
      <c r="CE274" s="204"/>
    </row>
    <row r="275" s="385" customFormat="1" customHeight="1" spans="1:83">
      <c r="A275" s="385">
        <v>185</v>
      </c>
      <c r="C275" s="146">
        <v>44963</v>
      </c>
      <c r="D275" s="385">
        <v>20230000833</v>
      </c>
      <c r="F275" s="456" t="s">
        <v>2716</v>
      </c>
      <c r="G275" s="385" t="s">
        <v>2636</v>
      </c>
      <c r="H275" s="1026" t="s">
        <v>2717</v>
      </c>
      <c r="I275" s="451" t="s">
        <v>2718</v>
      </c>
      <c r="J275" s="385">
        <v>108.14</v>
      </c>
      <c r="K275" s="385">
        <v>108.14</v>
      </c>
      <c r="L275" s="385">
        <v>5202.38</v>
      </c>
      <c r="M275" s="389">
        <v>562585</v>
      </c>
      <c r="N275" s="145"/>
      <c r="O275" s="390">
        <v>516133.03</v>
      </c>
      <c r="P275" s="443" t="s">
        <v>2719</v>
      </c>
      <c r="Q275" s="504">
        <v>45564</v>
      </c>
      <c r="R275" s="145"/>
      <c r="S275" s="393"/>
      <c r="T275" s="453" t="s">
        <v>2720</v>
      </c>
      <c r="U275" s="445" t="s">
        <v>2721</v>
      </c>
      <c r="V275" s="145">
        <f>1000-1000</f>
        <v>0</v>
      </c>
      <c r="W275" s="440"/>
      <c r="X275" s="145">
        <v>242753</v>
      </c>
      <c r="Y275" s="385" t="s">
        <v>1298</v>
      </c>
      <c r="Z275" s="145">
        <v>20000</v>
      </c>
      <c r="AA275" s="385" t="s">
        <v>2147</v>
      </c>
      <c r="AB275" s="145">
        <v>299000</v>
      </c>
      <c r="AC275" s="393" t="s">
        <v>810</v>
      </c>
      <c r="AD275" s="145">
        <v>832</v>
      </c>
      <c r="AE275" s="393" t="s">
        <v>1043</v>
      </c>
      <c r="AH275" s="145">
        <f t="shared" si="34"/>
        <v>562585</v>
      </c>
      <c r="AK275" s="390">
        <f t="shared" si="31"/>
        <v>0</v>
      </c>
      <c r="AL275" s="456" t="s">
        <v>2722</v>
      </c>
      <c r="AM275" s="456"/>
      <c r="AN275" s="385"/>
      <c r="AQ275" s="395">
        <f>0.6%+0.04%+0.1%</f>
        <v>0.0074</v>
      </c>
      <c r="AR275" s="447">
        <f t="shared" si="35"/>
        <v>561753</v>
      </c>
      <c r="AS275" s="145"/>
      <c r="AT275" s="145">
        <v>100</v>
      </c>
      <c r="AU275" s="145"/>
      <c r="AV275" s="145"/>
      <c r="AW275" s="145"/>
      <c r="AX275" s="145">
        <v>262753</v>
      </c>
      <c r="AY275" s="223"/>
      <c r="BA275" s="145">
        <v>299000</v>
      </c>
      <c r="BB275" s="145"/>
      <c r="BC275" s="145"/>
      <c r="BD275" s="145"/>
      <c r="BE275" s="145"/>
      <c r="BZ275" s="385" t="s">
        <v>260</v>
      </c>
      <c r="CA275" s="385" t="s">
        <v>271</v>
      </c>
      <c r="CB275" s="385" t="s">
        <v>261</v>
      </c>
      <c r="CE275" s="204"/>
    </row>
    <row r="276" s="385" customFormat="1" customHeight="1" spans="1:83">
      <c r="A276" s="385">
        <v>186</v>
      </c>
      <c r="C276" s="146">
        <v>45041</v>
      </c>
      <c r="D276" s="385">
        <v>20230003652</v>
      </c>
      <c r="F276" s="456" t="s">
        <v>2723</v>
      </c>
      <c r="G276" s="142" t="s">
        <v>2724</v>
      </c>
      <c r="H276" s="1026" t="s">
        <v>2725</v>
      </c>
      <c r="I276" s="441" t="s">
        <v>2726</v>
      </c>
      <c r="J276" s="385">
        <v>107.77</v>
      </c>
      <c r="K276" s="385">
        <v>107.77</v>
      </c>
      <c r="L276" s="385">
        <v>5440</v>
      </c>
      <c r="M276" s="389">
        <v>586269</v>
      </c>
      <c r="N276" s="145">
        <v>5363.37</v>
      </c>
      <c r="O276" s="390">
        <v>537861.47</v>
      </c>
      <c r="P276" s="443" t="s">
        <v>2727</v>
      </c>
      <c r="Q276" s="504">
        <v>45564</v>
      </c>
      <c r="R276" s="145"/>
      <c r="S276" s="393"/>
      <c r="T276" s="385" t="s">
        <v>2724</v>
      </c>
      <c r="U276" s="393" t="s">
        <v>2282</v>
      </c>
      <c r="V276" s="145">
        <f>20000-20000</f>
        <v>0</v>
      </c>
      <c r="W276" s="146" t="s">
        <v>1622</v>
      </c>
      <c r="X276" s="145">
        <v>10000</v>
      </c>
      <c r="Y276" s="146" t="s">
        <v>1455</v>
      </c>
      <c r="Z276" s="145">
        <v>175398</v>
      </c>
      <c r="AA276" s="385" t="s">
        <v>2003</v>
      </c>
      <c r="AB276" s="145">
        <v>400000</v>
      </c>
      <c r="AC276" s="385" t="s">
        <v>1282</v>
      </c>
      <c r="AH276" s="145">
        <f t="shared" si="34"/>
        <v>585398</v>
      </c>
      <c r="AK276" s="390">
        <f t="shared" si="31"/>
        <v>871</v>
      </c>
      <c r="AL276" s="456" t="s">
        <v>2728</v>
      </c>
      <c r="AM276" s="456"/>
      <c r="AQ276" s="395">
        <f>0.6%+0.06%+0.14%</f>
        <v>0.008</v>
      </c>
      <c r="AR276" s="447">
        <f t="shared" si="35"/>
        <v>585398</v>
      </c>
      <c r="AS276" s="145"/>
      <c r="AT276" s="145"/>
      <c r="AU276" s="145"/>
      <c r="AV276" s="145"/>
      <c r="AW276" s="145"/>
      <c r="AX276" s="145">
        <v>185398</v>
      </c>
      <c r="AY276" s="223">
        <v>400000</v>
      </c>
      <c r="BA276" s="145"/>
      <c r="BB276" s="145"/>
      <c r="BC276" s="145"/>
      <c r="BD276" s="145"/>
      <c r="BE276" s="145"/>
      <c r="BZ276" s="385" t="s">
        <v>260</v>
      </c>
      <c r="CA276" s="385" t="s">
        <v>271</v>
      </c>
      <c r="CB276" s="385" t="s">
        <v>261</v>
      </c>
      <c r="CE276" s="204"/>
    </row>
    <row r="277" s="385" customFormat="1" customHeight="1" spans="1:83">
      <c r="A277" s="385">
        <v>187</v>
      </c>
      <c r="C277" s="146">
        <v>44965</v>
      </c>
      <c r="D277" s="385">
        <v>20230001094</v>
      </c>
      <c r="F277" s="456" t="s">
        <v>2729</v>
      </c>
      <c r="G277" s="385" t="s">
        <v>2730</v>
      </c>
      <c r="H277" s="1026" t="s">
        <v>2731</v>
      </c>
      <c r="I277" s="451" t="s">
        <v>2732</v>
      </c>
      <c r="J277" s="385">
        <v>108.14</v>
      </c>
      <c r="K277" s="385">
        <v>108.14</v>
      </c>
      <c r="L277" s="385">
        <v>5388</v>
      </c>
      <c r="M277" s="389">
        <v>582658</v>
      </c>
      <c r="N277" s="145"/>
      <c r="O277" s="390">
        <v>534548.62</v>
      </c>
      <c r="P277" s="443" t="s">
        <v>2733</v>
      </c>
      <c r="Q277" s="504">
        <v>45564</v>
      </c>
      <c r="R277" s="145"/>
      <c r="S277" s="393"/>
      <c r="T277" s="385" t="s">
        <v>2730</v>
      </c>
      <c r="U277" s="385" t="s">
        <v>2730</v>
      </c>
      <c r="V277" s="145">
        <v>71796</v>
      </c>
      <c r="W277" s="146" t="s">
        <v>1363</v>
      </c>
      <c r="X277" s="145">
        <v>50000</v>
      </c>
      <c r="Y277" s="466" t="s">
        <v>2734</v>
      </c>
      <c r="Z277" s="145">
        <v>460000</v>
      </c>
      <c r="AA277" s="385" t="s">
        <v>1952</v>
      </c>
      <c r="AB277" s="145">
        <v>862</v>
      </c>
      <c r="AC277" s="393" t="s">
        <v>1043</v>
      </c>
      <c r="AH277" s="145">
        <f t="shared" si="34"/>
        <v>582658</v>
      </c>
      <c r="AK277" s="390">
        <f t="shared" si="31"/>
        <v>0</v>
      </c>
      <c r="AL277" s="456" t="s">
        <v>2735</v>
      </c>
      <c r="AM277" s="456"/>
      <c r="AQ277" s="395">
        <f>0.5%+0.05%+0.14%</f>
        <v>0.0069</v>
      </c>
      <c r="AR277" s="447">
        <f t="shared" si="35"/>
        <v>581796</v>
      </c>
      <c r="AS277" s="145"/>
      <c r="AT277" s="145"/>
      <c r="AU277" s="145"/>
      <c r="AV277" s="145"/>
      <c r="AW277" s="145"/>
      <c r="AX277" s="145">
        <v>121796</v>
      </c>
      <c r="AY277" s="223">
        <v>460000</v>
      </c>
      <c r="BA277" s="145"/>
      <c r="BB277" s="145"/>
      <c r="BC277" s="145"/>
      <c r="BD277" s="145"/>
      <c r="BE277" s="145"/>
      <c r="BZ277" s="385" t="s">
        <v>260</v>
      </c>
      <c r="CA277" s="385" t="s">
        <v>271</v>
      </c>
      <c r="CB277" s="385" t="s">
        <v>261</v>
      </c>
      <c r="CE277" s="204"/>
    </row>
    <row r="278" s="385" customFormat="1" customHeight="1" spans="1:83">
      <c r="A278" s="385">
        <v>188</v>
      </c>
      <c r="C278" s="146">
        <v>44967</v>
      </c>
      <c r="D278" s="385">
        <v>20230001270</v>
      </c>
      <c r="F278" s="456" t="s">
        <v>2736</v>
      </c>
      <c r="G278" s="385" t="s">
        <v>2737</v>
      </c>
      <c r="H278" s="1026" t="s">
        <v>2738</v>
      </c>
      <c r="I278" s="441" t="s">
        <v>2739</v>
      </c>
      <c r="J278" s="385">
        <v>107.77</v>
      </c>
      <c r="K278" s="385">
        <v>107.77</v>
      </c>
      <c r="L278" s="385">
        <v>5258.88</v>
      </c>
      <c r="M278" s="389">
        <v>566749</v>
      </c>
      <c r="N278" s="145"/>
      <c r="O278" s="390">
        <v>519953.21</v>
      </c>
      <c r="P278" s="443" t="s">
        <v>2740</v>
      </c>
      <c r="Q278" s="504">
        <v>45564</v>
      </c>
      <c r="R278" s="145"/>
      <c r="S278" s="393"/>
      <c r="T278" s="394" t="s">
        <v>2741</v>
      </c>
      <c r="U278" s="393" t="s">
        <v>2742</v>
      </c>
      <c r="V278" s="145">
        <v>20000</v>
      </c>
      <c r="W278" s="146" t="s">
        <v>1471</v>
      </c>
      <c r="X278" s="145">
        <v>246908</v>
      </c>
      <c r="Y278" s="466" t="s">
        <v>2743</v>
      </c>
      <c r="Z278" s="145">
        <v>299000</v>
      </c>
      <c r="AA278" s="393" t="s">
        <v>446</v>
      </c>
      <c r="AB278" s="145"/>
      <c r="AH278" s="145">
        <f t="shared" si="34"/>
        <v>565908</v>
      </c>
      <c r="AK278" s="390">
        <f t="shared" si="31"/>
        <v>841</v>
      </c>
      <c r="AL278" s="456" t="s">
        <v>2744</v>
      </c>
      <c r="AM278" s="456"/>
      <c r="AN278" s="385"/>
      <c r="AQ278" s="395">
        <f>0.4%+0.04%+0.1%+0.04%</f>
        <v>0.0058</v>
      </c>
      <c r="AR278" s="447">
        <f t="shared" si="35"/>
        <v>565908</v>
      </c>
      <c r="AS278" s="145"/>
      <c r="AT278" s="145"/>
      <c r="AU278" s="145"/>
      <c r="AV278" s="145">
        <v>266908</v>
      </c>
      <c r="AW278" s="145"/>
      <c r="AX278" s="145"/>
      <c r="AY278" s="223"/>
      <c r="BA278" s="145"/>
      <c r="BB278" s="145">
        <v>299000</v>
      </c>
      <c r="BC278" s="145"/>
      <c r="BD278" s="145"/>
      <c r="BE278" s="145"/>
      <c r="BZ278" s="385" t="s">
        <v>260</v>
      </c>
      <c r="CA278" s="385" t="s">
        <v>271</v>
      </c>
      <c r="CB278" s="385" t="s">
        <v>261</v>
      </c>
      <c r="CE278" s="204"/>
    </row>
    <row r="279" s="385" customFormat="1" customHeight="1" spans="1:83">
      <c r="A279" s="385">
        <v>189</v>
      </c>
      <c r="C279" s="146">
        <v>44935</v>
      </c>
      <c r="D279" s="385">
        <v>20230000205</v>
      </c>
      <c r="F279" s="456" t="s">
        <v>2745</v>
      </c>
      <c r="G279" s="385" t="s">
        <v>2634</v>
      </c>
      <c r="I279" s="441" t="s">
        <v>2746</v>
      </c>
      <c r="J279" s="385">
        <v>108.14</v>
      </c>
      <c r="K279" s="385">
        <v>108.14</v>
      </c>
      <c r="L279" s="385">
        <v>5292.38</v>
      </c>
      <c r="M279" s="389">
        <v>572318</v>
      </c>
      <c r="N279" s="145"/>
      <c r="O279" s="390">
        <v>525062.39</v>
      </c>
      <c r="P279" s="443" t="s">
        <v>2747</v>
      </c>
      <c r="Q279" s="504">
        <v>45564</v>
      </c>
      <c r="R279" s="145"/>
      <c r="S279" s="393"/>
      <c r="T279" s="394" t="s">
        <v>2748</v>
      </c>
      <c r="U279" s="393" t="s">
        <v>2749</v>
      </c>
      <c r="V279" s="145">
        <v>2000</v>
      </c>
      <c r="W279" s="146">
        <v>44760</v>
      </c>
      <c r="X279" s="145">
        <v>18000</v>
      </c>
      <c r="Y279" s="466" t="s">
        <v>1280</v>
      </c>
      <c r="Z279" s="145">
        <v>151471</v>
      </c>
      <c r="AA279" s="385" t="s">
        <v>2750</v>
      </c>
      <c r="AB279" s="145">
        <v>400000</v>
      </c>
      <c r="AC279" s="385" t="s">
        <v>1314</v>
      </c>
      <c r="AD279" s="145">
        <v>847</v>
      </c>
      <c r="AE279" s="393" t="s">
        <v>541</v>
      </c>
      <c r="AH279" s="145">
        <f t="shared" si="34"/>
        <v>572318</v>
      </c>
      <c r="AK279" s="390">
        <f t="shared" si="31"/>
        <v>0</v>
      </c>
      <c r="AL279" s="456" t="s">
        <v>2751</v>
      </c>
      <c r="AM279" s="456"/>
      <c r="AN279" s="385"/>
      <c r="AQ279" s="395">
        <f>0.4%+0.04%+0.1%</f>
        <v>0.0054</v>
      </c>
      <c r="AR279" s="447">
        <f t="shared" si="35"/>
        <v>571471</v>
      </c>
      <c r="AS279" s="145"/>
      <c r="AT279" s="145"/>
      <c r="AU279" s="145">
        <v>171471</v>
      </c>
      <c r="AV279" s="145"/>
      <c r="AW279" s="145">
        <v>400000</v>
      </c>
      <c r="AX279" s="145"/>
      <c r="AY279" s="223"/>
      <c r="BA279" s="145"/>
      <c r="BB279" s="145"/>
      <c r="BC279" s="145"/>
      <c r="BD279" s="145"/>
      <c r="BE279" s="145"/>
      <c r="BZ279" s="385" t="s">
        <v>260</v>
      </c>
      <c r="CA279" s="385" t="s">
        <v>271</v>
      </c>
      <c r="CB279" s="385" t="s">
        <v>261</v>
      </c>
      <c r="CE279" s="204"/>
    </row>
    <row r="280" s="385" customFormat="1" customHeight="1" spans="1:83">
      <c r="A280" s="385">
        <v>190</v>
      </c>
      <c r="C280" s="146">
        <v>45064</v>
      </c>
      <c r="D280" s="385">
        <v>20230004214</v>
      </c>
      <c r="F280" s="456" t="s">
        <v>2752</v>
      </c>
      <c r="G280" s="385" t="s">
        <v>2753</v>
      </c>
      <c r="H280" s="1026" t="s">
        <v>2754</v>
      </c>
      <c r="I280" s="441" t="s">
        <v>2755</v>
      </c>
      <c r="J280" s="385">
        <v>107.77</v>
      </c>
      <c r="K280" s="385">
        <v>107.77</v>
      </c>
      <c r="L280" s="385">
        <v>5600</v>
      </c>
      <c r="M280" s="389">
        <v>603512</v>
      </c>
      <c r="N280" s="145">
        <v>5537.2</v>
      </c>
      <c r="O280" s="390">
        <v>553680.73</v>
      </c>
      <c r="P280" s="443" t="s">
        <v>2756</v>
      </c>
      <c r="Q280" s="504">
        <v>45564</v>
      </c>
      <c r="R280" s="145"/>
      <c r="S280" s="393"/>
      <c r="T280" s="393" t="s">
        <v>2753</v>
      </c>
      <c r="U280" s="393" t="s">
        <v>2757</v>
      </c>
      <c r="V280" s="145">
        <v>20000</v>
      </c>
      <c r="W280" s="146" t="s">
        <v>2758</v>
      </c>
      <c r="X280" s="145">
        <v>162616</v>
      </c>
      <c r="Y280" s="466" t="s">
        <v>1349</v>
      </c>
      <c r="Z280" s="145">
        <v>420000</v>
      </c>
      <c r="AA280" s="385" t="s">
        <v>1653</v>
      </c>
      <c r="AB280" s="145"/>
      <c r="AH280" s="145">
        <f t="shared" si="34"/>
        <v>602616</v>
      </c>
      <c r="AK280" s="390">
        <f t="shared" si="31"/>
        <v>896</v>
      </c>
      <c r="AL280" s="456" t="s">
        <v>2759</v>
      </c>
      <c r="AM280" s="456"/>
      <c r="AQ280" s="395">
        <f t="shared" ref="AQ280:AQ282" si="36">0.6%+0.06%+0.14%</f>
        <v>0.008</v>
      </c>
      <c r="AR280" s="447">
        <f t="shared" si="35"/>
        <v>602616</v>
      </c>
      <c r="AS280" s="145">
        <f>100</f>
        <v>100</v>
      </c>
      <c r="AT280" s="145"/>
      <c r="AU280" s="145"/>
      <c r="AV280" s="145"/>
      <c r="AW280" s="145"/>
      <c r="AX280" s="145"/>
      <c r="AY280" s="223">
        <v>182616</v>
      </c>
      <c r="AZ280" s="125">
        <v>420000</v>
      </c>
      <c r="BA280" s="145"/>
      <c r="BB280" s="145"/>
      <c r="BC280" s="145"/>
      <c r="BD280" s="145"/>
      <c r="BE280" s="145"/>
      <c r="BZ280" s="385" t="s">
        <v>260</v>
      </c>
      <c r="CA280" s="385" t="s">
        <v>271</v>
      </c>
      <c r="CB280" s="385" t="s">
        <v>261</v>
      </c>
      <c r="CE280" s="204"/>
    </row>
    <row r="281" s="385" customFormat="1" customHeight="1" spans="1:83">
      <c r="A281" s="385">
        <v>191</v>
      </c>
      <c r="C281" s="146">
        <v>45027</v>
      </c>
      <c r="D281" s="385">
        <v>20230003251</v>
      </c>
      <c r="F281" s="456" t="s">
        <v>2760</v>
      </c>
      <c r="G281" s="385" t="s">
        <v>2761</v>
      </c>
      <c r="H281" s="1026" t="s">
        <v>2762</v>
      </c>
      <c r="I281" s="451" t="s">
        <v>2763</v>
      </c>
      <c r="J281" s="385">
        <v>108.14</v>
      </c>
      <c r="K281" s="385">
        <v>108.14</v>
      </c>
      <c r="L281" s="385">
        <v>5600</v>
      </c>
      <c r="M281" s="389">
        <v>605584</v>
      </c>
      <c r="N281" s="145">
        <v>5551.1</v>
      </c>
      <c r="O281" s="390">
        <v>555581.65</v>
      </c>
      <c r="P281" s="443" t="s">
        <v>2764</v>
      </c>
      <c r="Q281" s="504">
        <v>45564</v>
      </c>
      <c r="R281" s="145"/>
      <c r="S281" s="393"/>
      <c r="T281" s="385" t="s">
        <v>2761</v>
      </c>
      <c r="U281" s="393" t="s">
        <v>267</v>
      </c>
      <c r="V281" s="145">
        <v>20000</v>
      </c>
      <c r="W281" s="146" t="s">
        <v>1455</v>
      </c>
      <c r="X281" s="145">
        <v>101688</v>
      </c>
      <c r="Y281" s="466" t="s">
        <v>1925</v>
      </c>
      <c r="Z281" s="145">
        <v>483000</v>
      </c>
      <c r="AA281" s="385" t="s">
        <v>1409</v>
      </c>
      <c r="AB281" s="145">
        <v>896</v>
      </c>
      <c r="AC281" s="393">
        <v>45886</v>
      </c>
      <c r="AH281" s="145">
        <f t="shared" si="34"/>
        <v>605584</v>
      </c>
      <c r="AK281" s="390">
        <f t="shared" ref="AK281:AK332" si="37">M281-AH281</f>
        <v>0</v>
      </c>
      <c r="AL281" s="456" t="s">
        <v>2765</v>
      </c>
      <c r="AM281" s="456"/>
      <c r="AQ281" s="395">
        <f>0.6%+0.14%</f>
        <v>0.0074</v>
      </c>
      <c r="AR281" s="447">
        <f t="shared" si="35"/>
        <v>604688</v>
      </c>
      <c r="AS281" s="145"/>
      <c r="AT281" s="145"/>
      <c r="AU281" s="145"/>
      <c r="AV281" s="145"/>
      <c r="AW281" s="145"/>
      <c r="AX281" s="145">
        <v>604688</v>
      </c>
      <c r="AY281" s="223"/>
      <c r="BA281" s="145"/>
      <c r="BB281" s="145"/>
      <c r="BC281" s="145"/>
      <c r="BD281" s="145"/>
      <c r="BE281" s="145"/>
      <c r="BZ281" s="385" t="s">
        <v>260</v>
      </c>
      <c r="CA281" s="385" t="s">
        <v>271</v>
      </c>
      <c r="CB281" s="385" t="s">
        <v>261</v>
      </c>
      <c r="CE281" s="204"/>
    </row>
    <row r="282" s="385" customFormat="1" customHeight="1" spans="1:83">
      <c r="A282" s="385">
        <v>192</v>
      </c>
      <c r="C282" s="146">
        <v>45127</v>
      </c>
      <c r="D282" s="385">
        <v>20230006106</v>
      </c>
      <c r="F282" s="1027" t="s">
        <v>2766</v>
      </c>
      <c r="G282" s="385" t="s">
        <v>2767</v>
      </c>
      <c r="I282" s="441" t="s">
        <v>2768</v>
      </c>
      <c r="J282" s="385">
        <v>107.77</v>
      </c>
      <c r="K282" s="385">
        <v>107.77</v>
      </c>
      <c r="L282" s="385">
        <v>5643.04</v>
      </c>
      <c r="M282" s="389">
        <v>608150</v>
      </c>
      <c r="N282" s="145">
        <v>5563.04</v>
      </c>
      <c r="O282" s="390"/>
      <c r="P282" s="443"/>
      <c r="Q282" s="504">
        <v>45564</v>
      </c>
      <c r="R282" s="145"/>
      <c r="S282" s="393"/>
      <c r="T282" s="393"/>
      <c r="U282" s="393"/>
      <c r="V282" s="145">
        <v>10000</v>
      </c>
      <c r="W282" s="146" t="s">
        <v>2769</v>
      </c>
      <c r="X282" s="145">
        <f>248+112000</f>
        <v>112248</v>
      </c>
      <c r="Y282" s="393" t="s">
        <v>994</v>
      </c>
      <c r="Z282" s="145">
        <v>485000</v>
      </c>
      <c r="AA282" s="393" t="s">
        <v>2770</v>
      </c>
      <c r="AB282" s="145"/>
      <c r="AH282" s="145">
        <f t="shared" si="34"/>
        <v>607248</v>
      </c>
      <c r="AK282" s="390">
        <f t="shared" si="37"/>
        <v>902</v>
      </c>
      <c r="AL282" s="456"/>
      <c r="AM282" s="456"/>
      <c r="AQ282" s="395">
        <f t="shared" si="36"/>
        <v>0.008</v>
      </c>
      <c r="AR282" s="447">
        <f t="shared" si="35"/>
        <v>607248</v>
      </c>
      <c r="AS282" s="145"/>
      <c r="AT282" s="145"/>
      <c r="AU282" s="145"/>
      <c r="AV282" s="145"/>
      <c r="AW282" s="145"/>
      <c r="AX282" s="145"/>
      <c r="AY282" s="223"/>
      <c r="BA282" s="145">
        <v>122248</v>
      </c>
      <c r="BB282" s="145"/>
      <c r="BC282" s="145"/>
      <c r="BD282" s="145"/>
      <c r="BE282" s="145"/>
      <c r="BG282" s="385">
        <v>485000</v>
      </c>
      <c r="BZ282" s="385" t="s">
        <v>260</v>
      </c>
      <c r="CA282" s="385" t="s">
        <v>271</v>
      </c>
      <c r="CB282" s="385" t="s">
        <v>261</v>
      </c>
      <c r="CE282" s="204"/>
    </row>
    <row r="283" s="385" customFormat="1" customHeight="1" spans="1:83">
      <c r="A283" s="385">
        <v>193</v>
      </c>
      <c r="C283" s="146">
        <v>45112</v>
      </c>
      <c r="D283" s="385">
        <v>20230005577</v>
      </c>
      <c r="F283" s="456" t="s">
        <v>2771</v>
      </c>
      <c r="G283" s="385" t="s">
        <v>2772</v>
      </c>
      <c r="H283" s="1026" t="s">
        <v>2773</v>
      </c>
      <c r="I283" s="451" t="s">
        <v>2774</v>
      </c>
      <c r="J283" s="385">
        <v>108.14</v>
      </c>
      <c r="K283" s="385">
        <v>108.14</v>
      </c>
      <c r="L283" s="385">
        <v>5907.45</v>
      </c>
      <c r="M283" s="389">
        <v>638832</v>
      </c>
      <c r="N283" s="145">
        <v>5897.6</v>
      </c>
      <c r="O283" s="390">
        <v>586084.4</v>
      </c>
      <c r="P283" s="443" t="s">
        <v>2775</v>
      </c>
      <c r="Q283" s="504">
        <v>45564</v>
      </c>
      <c r="R283" s="145"/>
      <c r="S283" s="393"/>
      <c r="T283" s="393"/>
      <c r="U283" s="393"/>
      <c r="V283" s="145">
        <v>40000</v>
      </c>
      <c r="W283" s="393" t="s">
        <v>1090</v>
      </c>
      <c r="X283" s="145">
        <f>157887+440000</f>
        <v>597887</v>
      </c>
      <c r="Y283" s="393" t="s">
        <v>2776</v>
      </c>
      <c r="Z283" s="145">
        <v>945</v>
      </c>
      <c r="AA283" s="385" t="s">
        <v>2777</v>
      </c>
      <c r="AB283" s="145"/>
      <c r="AH283" s="145">
        <f t="shared" si="34"/>
        <v>638832</v>
      </c>
      <c r="AK283" s="390">
        <f t="shared" si="37"/>
        <v>0</v>
      </c>
      <c r="AL283" s="456" t="s">
        <v>2778</v>
      </c>
      <c r="AM283" s="456"/>
      <c r="AQ283" s="395">
        <f>0.4%+0.02%+0.08%</f>
        <v>0.005</v>
      </c>
      <c r="AR283" s="447">
        <f t="shared" si="35"/>
        <v>637887</v>
      </c>
      <c r="AS283" s="145"/>
      <c r="AT283" s="145"/>
      <c r="AU283" s="145"/>
      <c r="AV283" s="145"/>
      <c r="AW283" s="145"/>
      <c r="AX283" s="145"/>
      <c r="AY283" s="223"/>
      <c r="AZ283" s="125"/>
      <c r="BA283" s="145">
        <v>637887</v>
      </c>
      <c r="BB283" s="145"/>
      <c r="BC283" s="145"/>
      <c r="BD283" s="145"/>
      <c r="BE283" s="145"/>
      <c r="BZ283" s="385" t="s">
        <v>260</v>
      </c>
      <c r="CA283" s="385" t="s">
        <v>271</v>
      </c>
      <c r="CB283" s="385" t="s">
        <v>261</v>
      </c>
      <c r="CE283" s="204"/>
    </row>
    <row r="284" s="385" customFormat="1" customHeight="1" spans="1:83">
      <c r="A284" s="385">
        <v>194</v>
      </c>
      <c r="C284" s="146">
        <v>45074</v>
      </c>
      <c r="D284" s="385">
        <v>20230004483</v>
      </c>
      <c r="F284" s="456" t="s">
        <v>2779</v>
      </c>
      <c r="G284" s="385" t="s">
        <v>2624</v>
      </c>
      <c r="H284" s="1026" t="s">
        <v>2780</v>
      </c>
      <c r="I284" s="441" t="s">
        <v>2781</v>
      </c>
      <c r="J284" s="385">
        <v>107.77</v>
      </c>
      <c r="K284" s="385">
        <v>107.77</v>
      </c>
      <c r="L284" s="385">
        <v>5659.54</v>
      </c>
      <c r="M284" s="389">
        <v>609929</v>
      </c>
      <c r="N284" s="145">
        <v>5609.54</v>
      </c>
      <c r="O284" s="390">
        <v>559567.89</v>
      </c>
      <c r="P284" s="443" t="s">
        <v>2782</v>
      </c>
      <c r="Q284" s="504">
        <v>45564</v>
      </c>
      <c r="R284" s="145"/>
      <c r="S284" s="393"/>
      <c r="T284" s="393"/>
      <c r="U284" s="393" t="s">
        <v>546</v>
      </c>
      <c r="V284" s="145">
        <v>20000</v>
      </c>
      <c r="W284" s="393" t="s">
        <v>2783</v>
      </c>
      <c r="X284" s="145">
        <v>102023</v>
      </c>
      <c r="Y284" s="466" t="s">
        <v>1549</v>
      </c>
      <c r="Z284" s="145">
        <v>487000</v>
      </c>
      <c r="AA284" s="393" t="s">
        <v>938</v>
      </c>
      <c r="AB284" s="145"/>
      <c r="AH284" s="145">
        <f t="shared" si="34"/>
        <v>609023</v>
      </c>
      <c r="AK284" s="390">
        <f t="shared" si="37"/>
        <v>906</v>
      </c>
      <c r="AL284" s="456" t="s">
        <v>2784</v>
      </c>
      <c r="AM284" s="456"/>
      <c r="AQ284" s="395">
        <f>0.6%+0.14%</f>
        <v>0.0074</v>
      </c>
      <c r="AR284" s="447">
        <f t="shared" si="35"/>
        <v>609023</v>
      </c>
      <c r="AS284" s="145"/>
      <c r="AT284" s="145"/>
      <c r="AU284" s="145"/>
      <c r="AV284" s="145"/>
      <c r="AW284" s="145"/>
      <c r="AX284" s="145"/>
      <c r="AY284" s="223">
        <v>122023</v>
      </c>
      <c r="BA284" s="145">
        <v>487000</v>
      </c>
      <c r="BB284" s="145"/>
      <c r="BC284" s="145"/>
      <c r="BD284" s="145"/>
      <c r="BE284" s="145"/>
      <c r="BZ284" s="385" t="s">
        <v>260</v>
      </c>
      <c r="CA284" s="385" t="s">
        <v>271</v>
      </c>
      <c r="CB284" s="385" t="s">
        <v>261</v>
      </c>
      <c r="CE284" s="204"/>
    </row>
    <row r="285" s="385" customFormat="1" ht="66" customHeight="1" spans="1:83">
      <c r="A285" s="385">
        <v>195</v>
      </c>
      <c r="C285" s="146">
        <v>45199</v>
      </c>
      <c r="D285" s="385">
        <v>20230008382</v>
      </c>
      <c r="F285" s="501" t="s">
        <v>2785</v>
      </c>
      <c r="G285" s="142" t="s">
        <v>2786</v>
      </c>
      <c r="H285" s="1031" t="s">
        <v>2787</v>
      </c>
      <c r="I285" s="451" t="s">
        <v>2788</v>
      </c>
      <c r="J285" s="385">
        <v>108.14</v>
      </c>
      <c r="K285" s="385">
        <v>108.14</v>
      </c>
      <c r="L285" s="385">
        <v>5918.27</v>
      </c>
      <c r="M285" s="389">
        <v>640003</v>
      </c>
      <c r="N285" s="145">
        <v>5918.27</v>
      </c>
      <c r="O285" s="390">
        <v>587158.72</v>
      </c>
      <c r="P285" s="443" t="s">
        <v>2789</v>
      </c>
      <c r="Q285" s="504">
        <v>45564</v>
      </c>
      <c r="R285" s="145"/>
      <c r="S285" s="393"/>
      <c r="T285" s="393"/>
      <c r="U285" s="445" t="s">
        <v>370</v>
      </c>
      <c r="V285" s="145">
        <v>20000</v>
      </c>
      <c r="W285" s="466" t="s">
        <v>455</v>
      </c>
      <c r="X285" s="145">
        <v>29056</v>
      </c>
      <c r="Y285" s="385" t="s">
        <v>513</v>
      </c>
      <c r="Z285" s="145">
        <v>210000</v>
      </c>
      <c r="AA285" s="393" t="s">
        <v>314</v>
      </c>
      <c r="AB285" s="145">
        <v>380000</v>
      </c>
      <c r="AC285" s="385" t="s">
        <v>1500</v>
      </c>
      <c r="AD285" s="145">
        <v>947</v>
      </c>
      <c r="AE285" s="393" t="s">
        <v>2790</v>
      </c>
      <c r="AH285" s="145">
        <f t="shared" si="34"/>
        <v>640003</v>
      </c>
      <c r="AK285" s="390">
        <f t="shared" si="37"/>
        <v>0</v>
      </c>
      <c r="AL285" s="501" t="s">
        <v>2791</v>
      </c>
      <c r="AM285" s="456"/>
      <c r="AQ285" s="395">
        <f>0.7%+0.05%+0.12%</f>
        <v>0.0087</v>
      </c>
      <c r="AR285" s="447">
        <f t="shared" si="35"/>
        <v>639056</v>
      </c>
      <c r="AS285" s="145"/>
      <c r="AT285" s="145"/>
      <c r="AU285" s="145"/>
      <c r="AV285" s="145"/>
      <c r="AW285" s="145"/>
      <c r="AX285" s="145"/>
      <c r="AY285" s="223"/>
      <c r="BA285" s="145"/>
      <c r="BB285" s="145"/>
      <c r="BC285" s="145"/>
      <c r="BD285" s="145"/>
      <c r="BE285" s="145">
        <v>639056</v>
      </c>
      <c r="BZ285" s="385" t="s">
        <v>260</v>
      </c>
      <c r="CA285" s="385" t="s">
        <v>271</v>
      </c>
      <c r="CB285" s="385" t="s">
        <v>261</v>
      </c>
      <c r="CE285" s="204"/>
    </row>
    <row r="286" s="385" customFormat="1" customHeight="1" spans="1:83">
      <c r="A286" s="385">
        <v>196</v>
      </c>
      <c r="C286" s="146">
        <v>45203</v>
      </c>
      <c r="D286" s="385">
        <v>20230008584</v>
      </c>
      <c r="F286" s="456" t="s">
        <v>2792</v>
      </c>
      <c r="G286" s="385" t="s">
        <v>2793</v>
      </c>
      <c r="H286" s="1026" t="s">
        <v>2794</v>
      </c>
      <c r="I286" s="441" t="s">
        <v>2795</v>
      </c>
      <c r="J286" s="385">
        <v>107.77</v>
      </c>
      <c r="K286" s="385">
        <v>107.77</v>
      </c>
      <c r="L286" s="385">
        <v>5993.8</v>
      </c>
      <c r="M286" s="389">
        <v>645959</v>
      </c>
      <c r="N286" s="145">
        <v>5930.21</v>
      </c>
      <c r="O286" s="390">
        <v>592622.94</v>
      </c>
      <c r="P286" s="443" t="s">
        <v>2796</v>
      </c>
      <c r="Q286" s="504">
        <v>45564</v>
      </c>
      <c r="R286" s="145"/>
      <c r="S286" s="393"/>
      <c r="T286" s="393"/>
      <c r="U286" s="393" t="s">
        <v>561</v>
      </c>
      <c r="V286" s="145">
        <v>20000</v>
      </c>
      <c r="W286" s="393" t="s">
        <v>2161</v>
      </c>
      <c r="X286" s="145">
        <f>59000+50000</f>
        <v>109000</v>
      </c>
      <c r="Y286" s="393" t="s">
        <v>2797</v>
      </c>
      <c r="Z286" s="145">
        <v>516000</v>
      </c>
      <c r="AA286" s="393" t="s">
        <v>1550</v>
      </c>
      <c r="AB286" s="145">
        <v>959</v>
      </c>
      <c r="AC286" s="393" t="s">
        <v>1043</v>
      </c>
      <c r="AH286" s="145">
        <f t="shared" si="34"/>
        <v>645959</v>
      </c>
      <c r="AK286" s="390">
        <f t="shared" si="37"/>
        <v>0</v>
      </c>
      <c r="AL286" s="456" t="s">
        <v>2798</v>
      </c>
      <c r="AM286" s="456"/>
      <c r="AQ286" s="395">
        <f>0.7%+0.04%+0.12%</f>
        <v>0.0086</v>
      </c>
      <c r="AR286" s="447">
        <f t="shared" si="35"/>
        <v>645000</v>
      </c>
      <c r="AS286" s="145"/>
      <c r="AT286" s="145"/>
      <c r="AU286" s="145"/>
      <c r="AV286" s="145"/>
      <c r="AW286" s="145"/>
      <c r="AX286" s="145"/>
      <c r="AY286" s="223"/>
      <c r="BA286" s="145"/>
      <c r="BB286" s="145"/>
      <c r="BC286" s="145"/>
      <c r="BD286" s="145">
        <v>129000</v>
      </c>
      <c r="BE286" s="145">
        <v>516000</v>
      </c>
      <c r="BZ286" s="385" t="s">
        <v>260</v>
      </c>
      <c r="CA286" s="385" t="s">
        <v>271</v>
      </c>
      <c r="CB286" s="385" t="s">
        <v>261</v>
      </c>
      <c r="CE286" s="204"/>
    </row>
    <row r="287" s="385" customFormat="1" ht="50" customHeight="1" spans="1:83">
      <c r="A287" s="385">
        <v>197</v>
      </c>
      <c r="C287" s="146">
        <v>45317</v>
      </c>
      <c r="D287" s="545" t="s">
        <v>2799</v>
      </c>
      <c r="F287" s="456" t="s">
        <v>2800</v>
      </c>
      <c r="G287" s="468" t="s">
        <v>2801</v>
      </c>
      <c r="H287" s="1030" t="s">
        <v>2802</v>
      </c>
      <c r="I287" s="451" t="s">
        <v>2803</v>
      </c>
      <c r="J287" s="385">
        <v>108.14</v>
      </c>
      <c r="K287" s="385">
        <v>108.14</v>
      </c>
      <c r="L287" s="385">
        <v>7000</v>
      </c>
      <c r="M287" s="389">
        <v>756980</v>
      </c>
      <c r="N287" s="465">
        <v>6942</v>
      </c>
      <c r="O287" s="473">
        <v>694477.06</v>
      </c>
      <c r="P287" s="474" t="s">
        <v>2804</v>
      </c>
      <c r="Q287" s="504">
        <v>45564</v>
      </c>
      <c r="R287" s="145"/>
      <c r="S287" s="393"/>
      <c r="T287" s="393"/>
      <c r="U287" s="393" t="s">
        <v>294</v>
      </c>
      <c r="V287" s="145">
        <v>20000</v>
      </c>
      <c r="W287" s="393" t="s">
        <v>334</v>
      </c>
      <c r="X287" s="145">
        <f>66860+10000</f>
        <v>76860</v>
      </c>
      <c r="Y287" s="385" t="s">
        <v>611</v>
      </c>
      <c r="Z287" s="145">
        <v>59000</v>
      </c>
      <c r="AA287" s="393" t="s">
        <v>2805</v>
      </c>
      <c r="AB287" s="145">
        <v>400000</v>
      </c>
      <c r="AC287" s="393" t="s">
        <v>625</v>
      </c>
      <c r="AD287" s="145">
        <v>200000</v>
      </c>
      <c r="AE287" s="393" t="s">
        <v>2806</v>
      </c>
      <c r="AF287" s="145">
        <v>1120</v>
      </c>
      <c r="AG287" s="393" t="s">
        <v>2807</v>
      </c>
      <c r="AH287" s="145">
        <f t="shared" si="34"/>
        <v>756980</v>
      </c>
      <c r="AK287" s="390">
        <f t="shared" si="37"/>
        <v>0</v>
      </c>
      <c r="AL287" s="456" t="s">
        <v>2808</v>
      </c>
      <c r="AM287" s="456"/>
      <c r="AN287" s="475"/>
      <c r="AO287" s="475"/>
      <c r="AP287" s="475"/>
      <c r="AQ287" s="169">
        <f>0.7%+0.12%</f>
        <v>0.0082</v>
      </c>
      <c r="AR287" s="447">
        <f t="shared" si="35"/>
        <v>755860</v>
      </c>
      <c r="AS287" s="145"/>
      <c r="AT287" s="145"/>
      <c r="AU287" s="145"/>
      <c r="AV287" s="145"/>
      <c r="AW287" s="145"/>
      <c r="AX287" s="145"/>
      <c r="AY287" s="223"/>
      <c r="BA287" s="145"/>
      <c r="BB287" s="145"/>
      <c r="BC287" s="145"/>
      <c r="BD287" s="145"/>
      <c r="BE287" s="145"/>
      <c r="BI287" s="385">
        <v>155860</v>
      </c>
      <c r="BL287" s="385">
        <v>600000</v>
      </c>
      <c r="BZ287" s="385" t="s">
        <v>260</v>
      </c>
      <c r="CA287" s="385" t="s">
        <v>271</v>
      </c>
      <c r="CB287" s="385" t="s">
        <v>261</v>
      </c>
      <c r="CE287" s="204"/>
    </row>
    <row r="288" s="385" customFormat="1" customHeight="1" spans="1:83">
      <c r="A288" s="385">
        <v>198</v>
      </c>
      <c r="C288" s="146">
        <v>45587</v>
      </c>
      <c r="D288" s="524" t="s">
        <v>2809</v>
      </c>
      <c r="E288" s="385" t="s">
        <v>2810</v>
      </c>
      <c r="F288" s="456" t="s">
        <v>2811</v>
      </c>
      <c r="G288" s="448" t="s">
        <v>2812</v>
      </c>
      <c r="H288" s="448"/>
      <c r="I288" s="441" t="s">
        <v>2813</v>
      </c>
      <c r="J288" s="204">
        <v>107.77</v>
      </c>
      <c r="K288" s="204">
        <v>107.77</v>
      </c>
      <c r="L288" s="385">
        <v>6900</v>
      </c>
      <c r="M288" s="389">
        <f>L288*K288</f>
        <v>743613</v>
      </c>
      <c r="N288" s="385" t="s">
        <v>2814</v>
      </c>
      <c r="O288" s="473">
        <v>682213.76</v>
      </c>
      <c r="P288" s="474" t="s">
        <v>2815</v>
      </c>
      <c r="Q288" s="474" t="s">
        <v>2816</v>
      </c>
      <c r="R288" s="145"/>
      <c r="S288" s="393"/>
      <c r="T288" s="393"/>
      <c r="U288" s="393"/>
      <c r="V288" s="145">
        <v>742509</v>
      </c>
      <c r="W288" s="393" t="s">
        <v>714</v>
      </c>
      <c r="X288" s="145">
        <v>1104</v>
      </c>
      <c r="Y288" s="393">
        <v>45715</v>
      </c>
      <c r="Z288" s="145"/>
      <c r="AB288" s="145"/>
      <c r="AH288" s="145">
        <f t="shared" si="34"/>
        <v>743613</v>
      </c>
      <c r="AK288" s="390">
        <f t="shared" si="37"/>
        <v>0</v>
      </c>
      <c r="AL288" s="456"/>
      <c r="AM288" s="456"/>
      <c r="AN288" s="475"/>
      <c r="AO288" s="475"/>
      <c r="AP288" s="475"/>
      <c r="AQ288" s="395"/>
      <c r="AR288" s="447">
        <f t="shared" si="35"/>
        <v>0</v>
      </c>
      <c r="AS288" s="145"/>
      <c r="AT288" s="145"/>
      <c r="AU288" s="145"/>
      <c r="AV288" s="145"/>
      <c r="AW288" s="145"/>
      <c r="AX288" s="145"/>
      <c r="AY288" s="223"/>
      <c r="BA288" s="145"/>
      <c r="BB288" s="145"/>
      <c r="BC288" s="145"/>
      <c r="BD288" s="145"/>
      <c r="BE288" s="145"/>
      <c r="BZ288" s="385" t="s">
        <v>260</v>
      </c>
      <c r="CB288" s="385" t="s">
        <v>261</v>
      </c>
      <c r="CE288" s="204"/>
    </row>
    <row r="289" s="385" customFormat="1" customHeight="1" spans="1:83">
      <c r="A289" s="385">
        <v>199</v>
      </c>
      <c r="B289" s="385"/>
      <c r="C289" s="146">
        <v>45455</v>
      </c>
      <c r="D289" s="545" t="s">
        <v>2817</v>
      </c>
      <c r="F289" s="456" t="s">
        <v>2818</v>
      </c>
      <c r="G289" s="448" t="s">
        <v>2819</v>
      </c>
      <c r="H289" s="1030" t="s">
        <v>2820</v>
      </c>
      <c r="I289" s="451" t="s">
        <v>2821</v>
      </c>
      <c r="J289" s="385">
        <v>107.77</v>
      </c>
      <c r="K289" s="385">
        <v>107.77</v>
      </c>
      <c r="L289" s="385">
        <f>M289/K289</f>
        <v>8107.07061334323</v>
      </c>
      <c r="M289" s="389">
        <v>873699</v>
      </c>
      <c r="N289" s="385">
        <v>8107.07</v>
      </c>
      <c r="O289" s="473">
        <v>801558.72</v>
      </c>
      <c r="P289" s="474" t="s">
        <v>2822</v>
      </c>
      <c r="Q289" s="504">
        <v>45564</v>
      </c>
      <c r="R289" s="145"/>
      <c r="S289" s="393"/>
      <c r="T289" s="393" t="s">
        <v>2823</v>
      </c>
      <c r="U289" s="445" t="s">
        <v>2824</v>
      </c>
      <c r="V289" s="145">
        <v>10000</v>
      </c>
      <c r="W289" s="393" t="s">
        <v>1969</v>
      </c>
      <c r="X289" s="145">
        <v>10000</v>
      </c>
      <c r="Y289" s="393" t="s">
        <v>2354</v>
      </c>
      <c r="Z289" s="145">
        <v>93402</v>
      </c>
      <c r="AA289" s="385" t="s">
        <v>959</v>
      </c>
      <c r="AB289" s="385">
        <v>30000</v>
      </c>
      <c r="AC289" s="385" t="s">
        <v>2825</v>
      </c>
      <c r="AD289" s="145">
        <f>230000+169000+30000</f>
        <v>429000</v>
      </c>
      <c r="AE289" s="445" t="s">
        <v>2826</v>
      </c>
      <c r="AF289" s="145">
        <f>300000+1297</f>
        <v>301297</v>
      </c>
      <c r="AG289" s="445" t="s">
        <v>2827</v>
      </c>
      <c r="AH289" s="145">
        <f t="shared" si="34"/>
        <v>873699</v>
      </c>
      <c r="AK289" s="390">
        <f t="shared" si="37"/>
        <v>0</v>
      </c>
      <c r="AL289" s="456" t="s">
        <v>2828</v>
      </c>
      <c r="AM289" s="456"/>
      <c r="AN289" s="475"/>
      <c r="AO289" s="475"/>
      <c r="AP289" s="475"/>
      <c r="AQ289" s="395">
        <f>0.7%+0.05%+0.14%</f>
        <v>0.0089</v>
      </c>
      <c r="AR289" s="447">
        <f t="shared" si="35"/>
        <v>872402</v>
      </c>
      <c r="AS289" s="145"/>
      <c r="AT289" s="145"/>
      <c r="AU289" s="145"/>
      <c r="AV289" s="145"/>
      <c r="AW289" s="145"/>
      <c r="AX289" s="145"/>
      <c r="AY289" s="223"/>
      <c r="BA289" s="145"/>
      <c r="BB289" s="145"/>
      <c r="BC289" s="145"/>
      <c r="BD289" s="145"/>
      <c r="BE289" s="145"/>
      <c r="BL289" s="385">
        <v>572402</v>
      </c>
      <c r="BM289" s="385">
        <v>300000</v>
      </c>
      <c r="BZ289" s="385" t="s">
        <v>260</v>
      </c>
      <c r="CA289" s="385" t="s">
        <v>271</v>
      </c>
      <c r="CB289" s="385" t="s">
        <v>261</v>
      </c>
      <c r="CE289" s="204"/>
    </row>
    <row r="290" s="385" customFormat="1" customHeight="1" spans="1:83">
      <c r="A290" s="385">
        <v>200</v>
      </c>
      <c r="B290" s="385"/>
      <c r="C290" s="146">
        <v>45650</v>
      </c>
      <c r="D290" s="385">
        <v>20240007418</v>
      </c>
      <c r="E290" s="385" t="s">
        <v>2829</v>
      </c>
      <c r="F290" s="456" t="s">
        <v>2830</v>
      </c>
      <c r="G290" s="448" t="s">
        <v>2831</v>
      </c>
      <c r="H290" s="448"/>
      <c r="I290" s="441" t="s">
        <v>2832</v>
      </c>
      <c r="J290" s="385">
        <v>107.58</v>
      </c>
      <c r="K290" s="385">
        <v>107.58</v>
      </c>
      <c r="L290" s="385">
        <v>8606.6</v>
      </c>
      <c r="M290" s="389">
        <v>925898</v>
      </c>
      <c r="N290" s="385"/>
      <c r="O290" s="473">
        <v>849447.71</v>
      </c>
      <c r="P290" s="443" t="s">
        <v>2833</v>
      </c>
      <c r="Q290" s="504">
        <v>45755</v>
      </c>
      <c r="R290" s="145"/>
      <c r="S290" s="393"/>
      <c r="T290" s="393"/>
      <c r="U290" s="393"/>
      <c r="V290" s="145">
        <v>925898</v>
      </c>
      <c r="W290" s="393" t="s">
        <v>2834</v>
      </c>
      <c r="X290" s="145"/>
      <c r="Y290" s="471"/>
      <c r="Z290" s="145"/>
      <c r="AA290" s="146"/>
      <c r="AB290" s="145"/>
      <c r="AC290" s="385"/>
      <c r="AD290" s="385"/>
      <c r="AE290" s="385"/>
      <c r="AF290" s="385"/>
      <c r="AG290" s="385"/>
      <c r="AH290" s="145">
        <f t="shared" si="34"/>
        <v>925898</v>
      </c>
      <c r="AK290" s="390">
        <f t="shared" si="37"/>
        <v>0</v>
      </c>
      <c r="AL290" s="501" t="s">
        <v>2835</v>
      </c>
      <c r="AM290" s="501"/>
      <c r="AN290" s="469"/>
      <c r="AO290" s="469"/>
      <c r="AP290" s="469"/>
      <c r="AQ290" s="395"/>
      <c r="AR290" s="447">
        <f t="shared" si="35"/>
        <v>0</v>
      </c>
      <c r="AS290" s="145"/>
      <c r="AT290" s="145"/>
      <c r="AU290" s="145"/>
      <c r="AV290" s="145"/>
      <c r="AW290" s="145"/>
      <c r="AX290" s="145"/>
      <c r="AY290" s="223"/>
      <c r="BA290" s="145"/>
      <c r="BB290" s="145"/>
      <c r="BC290" s="145"/>
      <c r="BD290" s="145"/>
      <c r="BE290" s="145"/>
      <c r="BZ290" s="385" t="s">
        <v>260</v>
      </c>
      <c r="CB290" s="385" t="s">
        <v>261</v>
      </c>
      <c r="CE290" s="204"/>
    </row>
    <row r="291" s="385" customFormat="1" customHeight="1" spans="1:83">
      <c r="A291" s="385">
        <v>201</v>
      </c>
      <c r="B291" s="385"/>
      <c r="C291" s="146">
        <v>45668</v>
      </c>
      <c r="D291" s="385">
        <v>20250000181</v>
      </c>
      <c r="E291" s="385" t="s">
        <v>2836</v>
      </c>
      <c r="F291" s="456" t="s">
        <v>2837</v>
      </c>
      <c r="G291" s="456" t="s">
        <v>2838</v>
      </c>
      <c r="H291" s="448"/>
      <c r="I291" s="451" t="s">
        <v>2839</v>
      </c>
      <c r="J291" s="385">
        <v>107.77</v>
      </c>
      <c r="K291" s="385">
        <v>107.77</v>
      </c>
      <c r="L291" s="385">
        <v>5474.62</v>
      </c>
      <c r="M291" s="389">
        <v>590000</v>
      </c>
      <c r="N291" s="385">
        <v>5947.67</v>
      </c>
      <c r="O291" s="473">
        <v>541284.4</v>
      </c>
      <c r="P291" s="1035" t="s">
        <v>2840</v>
      </c>
      <c r="Q291" s="504">
        <v>45715</v>
      </c>
      <c r="R291" s="145"/>
      <c r="S291" s="146"/>
      <c r="T291" s="393"/>
      <c r="U291" s="393"/>
      <c r="V291" s="145">
        <v>100000</v>
      </c>
      <c r="W291" s="146" t="s">
        <v>2841</v>
      </c>
      <c r="X291" s="145">
        <v>18000</v>
      </c>
      <c r="Y291" s="146" t="s">
        <v>2842</v>
      </c>
      <c r="Z291" s="145">
        <v>472000</v>
      </c>
      <c r="AA291" s="146" t="s">
        <v>1091</v>
      </c>
      <c r="AB291" s="145"/>
      <c r="AC291" s="385"/>
      <c r="AD291" s="385"/>
      <c r="AE291" s="385"/>
      <c r="AF291" s="385"/>
      <c r="AG291" s="385"/>
      <c r="AH291" s="145">
        <f t="shared" si="34"/>
        <v>590000</v>
      </c>
      <c r="AK291" s="390">
        <f t="shared" si="37"/>
        <v>0</v>
      </c>
      <c r="AL291" s="456" t="s">
        <v>2843</v>
      </c>
      <c r="AM291" s="456"/>
      <c r="AN291" s="469"/>
      <c r="AO291" s="469"/>
      <c r="AP291" s="469"/>
      <c r="AQ291" s="395"/>
      <c r="AR291" s="447">
        <f t="shared" si="35"/>
        <v>0</v>
      </c>
      <c r="AS291" s="145"/>
      <c r="AT291" s="145"/>
      <c r="AU291" s="145"/>
      <c r="AV291" s="145"/>
      <c r="AW291" s="145"/>
      <c r="AX291" s="145"/>
      <c r="AY291" s="223"/>
      <c r="BA291" s="145"/>
      <c r="BB291" s="145"/>
      <c r="BC291" s="145"/>
      <c r="BD291" s="145"/>
      <c r="BE291" s="145"/>
      <c r="BZ291" s="385" t="s">
        <v>260</v>
      </c>
      <c r="CB291" s="385" t="s">
        <v>261</v>
      </c>
      <c r="CE291" s="204"/>
    </row>
    <row r="292" s="386" customFormat="1" customHeight="1" spans="1:83">
      <c r="A292" s="505">
        <v>202</v>
      </c>
      <c r="B292" s="204"/>
      <c r="C292" s="204"/>
      <c r="D292" s="204"/>
      <c r="E292" s="204" t="s">
        <v>2844</v>
      </c>
      <c r="F292" s="479"/>
      <c r="G292" s="546"/>
      <c r="H292" s="480"/>
      <c r="I292" s="528" t="s">
        <v>2845</v>
      </c>
      <c r="J292" s="204">
        <v>107.77</v>
      </c>
      <c r="K292" s="204"/>
      <c r="L292" s="204"/>
      <c r="M292" s="389"/>
      <c r="N292" s="204">
        <v>8617.55</v>
      </c>
      <c r="O292" s="482"/>
      <c r="P292" s="547"/>
      <c r="Q292" s="547"/>
      <c r="R292" s="431"/>
      <c r="S292" s="434"/>
      <c r="T292" s="434"/>
      <c r="U292" s="434"/>
      <c r="V292" s="431"/>
      <c r="W292" s="484"/>
      <c r="X292" s="431"/>
      <c r="Y292" s="484"/>
      <c r="Z292" s="431"/>
      <c r="AA292" s="484"/>
      <c r="AB292" s="431"/>
      <c r="AC292" s="204"/>
      <c r="AD292" s="204"/>
      <c r="AE292" s="204"/>
      <c r="AF292" s="204"/>
      <c r="AG292" s="204"/>
      <c r="AH292" s="145">
        <f t="shared" si="34"/>
        <v>0</v>
      </c>
      <c r="AI292" s="204"/>
      <c r="AJ292" s="204"/>
      <c r="AK292" s="432">
        <f t="shared" si="37"/>
        <v>0</v>
      </c>
      <c r="AL292" s="479"/>
      <c r="AM292" s="479"/>
      <c r="AN292" s="519"/>
      <c r="AO292" s="519"/>
      <c r="AP292" s="519"/>
      <c r="AQ292" s="509"/>
      <c r="AR292" s="438">
        <f t="shared" si="35"/>
        <v>0</v>
      </c>
      <c r="AS292" s="510"/>
      <c r="AT292" s="510"/>
      <c r="AU292" s="510"/>
      <c r="AV292" s="510"/>
      <c r="AW292" s="510"/>
      <c r="AX292" s="510"/>
      <c r="AY292" s="531"/>
      <c r="BA292" s="510"/>
      <c r="BB292" s="510"/>
      <c r="BC292" s="510"/>
      <c r="BD292" s="510"/>
      <c r="BE292" s="510"/>
      <c r="CE292" s="204"/>
    </row>
    <row r="293" s="385" customFormat="1" ht="38" customHeight="1" spans="1:83">
      <c r="A293" s="385">
        <v>203</v>
      </c>
      <c r="C293" s="146">
        <v>44977</v>
      </c>
      <c r="D293" s="385">
        <v>20230001739</v>
      </c>
      <c r="F293" s="1026" t="s">
        <v>2846</v>
      </c>
      <c r="G293" s="142" t="s">
        <v>2647</v>
      </c>
      <c r="H293" s="142"/>
      <c r="I293" s="451" t="s">
        <v>2847</v>
      </c>
      <c r="J293" s="385">
        <v>107.77</v>
      </c>
      <c r="K293" s="385">
        <v>107.77</v>
      </c>
      <c r="L293" s="385">
        <v>5261.13</v>
      </c>
      <c r="M293" s="389">
        <v>566992</v>
      </c>
      <c r="N293" s="385">
        <v>8618.09</v>
      </c>
      <c r="O293" s="390">
        <v>520176.15</v>
      </c>
      <c r="P293" s="1035" t="s">
        <v>2848</v>
      </c>
      <c r="Q293" s="504">
        <v>45564</v>
      </c>
      <c r="R293" s="145"/>
      <c r="S293" s="445"/>
      <c r="T293" s="445" t="s">
        <v>2647</v>
      </c>
      <c r="U293" s="445" t="s">
        <v>2647</v>
      </c>
      <c r="V293" s="145">
        <f>2000-2000</f>
        <v>0</v>
      </c>
      <c r="W293" s="440">
        <v>44776</v>
      </c>
      <c r="X293" s="145">
        <v>566150</v>
      </c>
      <c r="Y293" s="146" t="s">
        <v>1247</v>
      </c>
      <c r="Z293" s="145">
        <v>842</v>
      </c>
      <c r="AA293" s="445" t="s">
        <v>2849</v>
      </c>
      <c r="AB293" s="145"/>
      <c r="AH293" s="145">
        <f t="shared" si="34"/>
        <v>566992</v>
      </c>
      <c r="AK293" s="390">
        <f t="shared" si="37"/>
        <v>0</v>
      </c>
      <c r="AL293" s="456" t="s">
        <v>2850</v>
      </c>
      <c r="AM293" s="456"/>
      <c r="AN293" s="469"/>
      <c r="AO293" s="469"/>
      <c r="AP293" s="469"/>
      <c r="AQ293" s="395">
        <f>0.5%+0.06%+0.14%</f>
        <v>0.007</v>
      </c>
      <c r="AR293" s="447">
        <f t="shared" si="35"/>
        <v>566150</v>
      </c>
      <c r="AS293" s="145"/>
      <c r="AT293" s="145">
        <f>100+100</f>
        <v>200</v>
      </c>
      <c r="AU293" s="145"/>
      <c r="AV293" s="145">
        <v>566150</v>
      </c>
      <c r="AW293" s="145"/>
      <c r="AX293" s="145"/>
      <c r="AY293" s="223"/>
      <c r="BA293" s="145"/>
      <c r="BB293" s="145"/>
      <c r="BC293" s="145"/>
      <c r="BD293" s="145"/>
      <c r="BE293" s="145"/>
      <c r="BZ293" s="385" t="s">
        <v>260</v>
      </c>
      <c r="CA293" s="385" t="s">
        <v>271</v>
      </c>
      <c r="CB293" s="385" t="s">
        <v>261</v>
      </c>
      <c r="CE293" s="204"/>
    </row>
    <row r="294" s="385" customFormat="1" customHeight="1" spans="1:83">
      <c r="A294" s="385">
        <v>204</v>
      </c>
      <c r="C294" s="146">
        <v>44998</v>
      </c>
      <c r="D294" s="524" t="s">
        <v>2851</v>
      </c>
      <c r="F294" s="456" t="s">
        <v>2852</v>
      </c>
      <c r="G294" s="468" t="s">
        <v>2853</v>
      </c>
      <c r="H294" s="1028" t="s">
        <v>2854</v>
      </c>
      <c r="I294" s="441" t="s">
        <v>2855</v>
      </c>
      <c r="J294" s="385">
        <v>107.77</v>
      </c>
      <c r="K294" s="385">
        <v>107.77</v>
      </c>
      <c r="L294" s="385">
        <v>5296.9</v>
      </c>
      <c r="M294" s="389">
        <v>570848</v>
      </c>
      <c r="N294" s="385">
        <v>5954.61</v>
      </c>
      <c r="O294" s="473">
        <v>523713.76</v>
      </c>
      <c r="P294" s="474" t="s">
        <v>2856</v>
      </c>
      <c r="Q294" s="504">
        <v>45564</v>
      </c>
      <c r="R294" s="145"/>
      <c r="S294" s="393"/>
      <c r="T294" s="445" t="s">
        <v>2857</v>
      </c>
      <c r="U294" s="445" t="s">
        <v>2858</v>
      </c>
      <c r="V294" s="145">
        <f>20000</f>
        <v>20000</v>
      </c>
      <c r="W294" s="440" t="s">
        <v>1721</v>
      </c>
      <c r="X294" s="145">
        <f>40000+310000</f>
        <v>350000</v>
      </c>
      <c r="Y294" s="146" t="s">
        <v>2758</v>
      </c>
      <c r="Z294" s="145">
        <v>200000</v>
      </c>
      <c r="AA294" s="146" t="s">
        <v>1527</v>
      </c>
      <c r="AB294" s="145">
        <v>848</v>
      </c>
      <c r="AC294" s="393" t="s">
        <v>2859</v>
      </c>
      <c r="AD294" s="516"/>
      <c r="AE294" s="516"/>
      <c r="AF294" s="516"/>
      <c r="AG294" s="516"/>
      <c r="AH294" s="145">
        <f t="shared" si="34"/>
        <v>570848</v>
      </c>
      <c r="AK294" s="390">
        <f t="shared" si="37"/>
        <v>0</v>
      </c>
      <c r="AL294" s="456" t="s">
        <v>2860</v>
      </c>
      <c r="AM294" s="456"/>
      <c r="AN294" s="475"/>
      <c r="AO294" s="475"/>
      <c r="AP294" s="475"/>
      <c r="AQ294" s="395">
        <f>0.4%+0.06%+0.14%</f>
        <v>0.006</v>
      </c>
      <c r="AR294" s="447">
        <f t="shared" si="35"/>
        <v>570000</v>
      </c>
      <c r="AS294" s="145">
        <f t="shared" ref="AS294:AS300" si="38">100</f>
        <v>100</v>
      </c>
      <c r="AT294" s="145"/>
      <c r="AU294" s="145"/>
      <c r="AV294" s="145"/>
      <c r="AW294" s="145">
        <v>570000</v>
      </c>
      <c r="AX294" s="145"/>
      <c r="AY294" s="223"/>
      <c r="BA294" s="145"/>
      <c r="BB294" s="145"/>
      <c r="BC294" s="145"/>
      <c r="BD294" s="145"/>
      <c r="BE294" s="145"/>
      <c r="BZ294" s="385" t="s">
        <v>260</v>
      </c>
      <c r="CA294" s="385" t="s">
        <v>271</v>
      </c>
      <c r="CB294" s="385" t="s">
        <v>261</v>
      </c>
      <c r="CE294" s="204"/>
    </row>
    <row r="295" s="385" customFormat="1" customHeight="1" spans="1:83">
      <c r="A295" s="385">
        <v>205</v>
      </c>
      <c r="C295" s="146">
        <v>45006</v>
      </c>
      <c r="D295" s="524" t="s">
        <v>2861</v>
      </c>
      <c r="F295" s="456" t="s">
        <v>2862</v>
      </c>
      <c r="G295" s="448" t="s">
        <v>2863</v>
      </c>
      <c r="H295" s="1030" t="s">
        <v>2864</v>
      </c>
      <c r="I295" s="441" t="s">
        <v>2865</v>
      </c>
      <c r="J295" s="385">
        <v>107.77</v>
      </c>
      <c r="K295" s="385">
        <v>107.77</v>
      </c>
      <c r="L295" s="385">
        <v>5350</v>
      </c>
      <c r="M295" s="389">
        <v>576569</v>
      </c>
      <c r="N295" s="385">
        <v>5952.89</v>
      </c>
      <c r="O295" s="473">
        <v>528962.39</v>
      </c>
      <c r="P295" s="474" t="s">
        <v>2866</v>
      </c>
      <c r="Q295" s="504">
        <v>45564</v>
      </c>
      <c r="R295" s="145"/>
      <c r="S295" s="393"/>
      <c r="T295" s="448" t="s">
        <v>2867</v>
      </c>
      <c r="U295" s="448" t="s">
        <v>2868</v>
      </c>
      <c r="V295" s="145">
        <v>20000</v>
      </c>
      <c r="W295" s="146" t="s">
        <v>808</v>
      </c>
      <c r="X295" s="145">
        <v>5713</v>
      </c>
      <c r="Y295" s="471" t="s">
        <v>1559</v>
      </c>
      <c r="Z295" s="145">
        <v>260000</v>
      </c>
      <c r="AA295" s="385" t="s">
        <v>1753</v>
      </c>
      <c r="AB295" s="145">
        <v>290000</v>
      </c>
      <c r="AC295" s="393" t="s">
        <v>2869</v>
      </c>
      <c r="AD295" s="145">
        <v>856</v>
      </c>
      <c r="AE295" s="393" t="s">
        <v>2870</v>
      </c>
      <c r="AH295" s="145">
        <f t="shared" si="34"/>
        <v>576569</v>
      </c>
      <c r="AK295" s="390">
        <f t="shared" si="37"/>
        <v>0</v>
      </c>
      <c r="AL295" s="456" t="s">
        <v>2871</v>
      </c>
      <c r="AM295" s="456"/>
      <c r="AN295" s="475"/>
      <c r="AO295" s="475"/>
      <c r="AP295" s="475"/>
      <c r="AQ295" s="395">
        <f>0.6%+0.14%+0.06%</f>
        <v>0.008</v>
      </c>
      <c r="AR295" s="447">
        <f t="shared" si="35"/>
        <v>575713</v>
      </c>
      <c r="AS295" s="145"/>
      <c r="AT295" s="145"/>
      <c r="AU295" s="145"/>
      <c r="AV295" s="145"/>
      <c r="AW295" s="145">
        <v>285713</v>
      </c>
      <c r="AX295" s="145"/>
      <c r="AY295" s="223"/>
      <c r="BA295" s="145"/>
      <c r="BB295" s="145"/>
      <c r="BC295" s="145">
        <v>290000</v>
      </c>
      <c r="BD295" s="145"/>
      <c r="BE295" s="145"/>
      <c r="BZ295" s="385" t="s">
        <v>260</v>
      </c>
      <c r="CA295" s="385" t="s">
        <v>271</v>
      </c>
      <c r="CB295" s="385" t="s">
        <v>261</v>
      </c>
      <c r="CE295" s="204"/>
    </row>
    <row r="296" s="385" customFormat="1" customHeight="1" spans="1:83">
      <c r="A296" s="385">
        <v>206</v>
      </c>
      <c r="C296" s="146">
        <v>44967</v>
      </c>
      <c r="D296" s="385">
        <v>20230001355</v>
      </c>
      <c r="F296" s="456" t="s">
        <v>2872</v>
      </c>
      <c r="G296" s="448" t="s">
        <v>2873</v>
      </c>
      <c r="H296" s="1030" t="s">
        <v>2874</v>
      </c>
      <c r="I296" s="441" t="s">
        <v>2875</v>
      </c>
      <c r="J296" s="385">
        <v>107.77</v>
      </c>
      <c r="K296" s="385">
        <v>107.77</v>
      </c>
      <c r="L296" s="385">
        <v>5175.58</v>
      </c>
      <c r="M296" s="389">
        <v>557772</v>
      </c>
      <c r="N296" s="145"/>
      <c r="O296" s="535">
        <v>511717.43</v>
      </c>
      <c r="P296" s="497" t="s">
        <v>2876</v>
      </c>
      <c r="Q296" s="504">
        <v>45564</v>
      </c>
      <c r="R296" s="145"/>
      <c r="S296" s="393"/>
      <c r="T296" s="394" t="s">
        <v>2877</v>
      </c>
      <c r="U296" s="393" t="s">
        <v>2878</v>
      </c>
      <c r="V296" s="145">
        <v>20000</v>
      </c>
      <c r="W296" s="496" t="s">
        <v>1280</v>
      </c>
      <c r="X296" s="145">
        <v>147944</v>
      </c>
      <c r="Y296" s="471" t="s">
        <v>2879</v>
      </c>
      <c r="Z296" s="145">
        <v>389000</v>
      </c>
      <c r="AA296" s="146" t="s">
        <v>1738</v>
      </c>
      <c r="AB296" s="145"/>
      <c r="AH296" s="145">
        <f t="shared" si="34"/>
        <v>556944</v>
      </c>
      <c r="AK296" s="390">
        <f t="shared" si="37"/>
        <v>828</v>
      </c>
      <c r="AL296" s="456" t="s">
        <v>2880</v>
      </c>
      <c r="AM296" s="456"/>
      <c r="AN296" s="469"/>
      <c r="AO296" s="469"/>
      <c r="AP296" s="469"/>
      <c r="AQ296" s="395">
        <f>0.4%+0.04%+0.1%</f>
        <v>0.0054</v>
      </c>
      <c r="AR296" s="447">
        <f t="shared" si="35"/>
        <v>556944</v>
      </c>
      <c r="AS296" s="145"/>
      <c r="AT296" s="145"/>
      <c r="AU296" s="145"/>
      <c r="AV296" s="145">
        <v>167944</v>
      </c>
      <c r="AW296" s="145">
        <v>389000</v>
      </c>
      <c r="AX296" s="145"/>
      <c r="AY296" s="223"/>
      <c r="BA296" s="145"/>
      <c r="BB296" s="145"/>
      <c r="BC296" s="145"/>
      <c r="BD296" s="145"/>
      <c r="BE296" s="145"/>
      <c r="BZ296" s="385" t="s">
        <v>260</v>
      </c>
      <c r="CA296" s="385" t="s">
        <v>271</v>
      </c>
      <c r="CB296" s="385" t="s">
        <v>261</v>
      </c>
      <c r="CE296" s="204"/>
    </row>
    <row r="297" s="385" customFormat="1" customHeight="1" spans="1:83">
      <c r="A297" s="385">
        <v>207</v>
      </c>
      <c r="C297" s="146">
        <v>44967</v>
      </c>
      <c r="D297" s="524" t="s">
        <v>2881</v>
      </c>
      <c r="F297" s="456" t="s">
        <v>2882</v>
      </c>
      <c r="G297" s="448" t="s">
        <v>2883</v>
      </c>
      <c r="H297" s="448"/>
      <c r="I297" s="451" t="s">
        <v>2884</v>
      </c>
      <c r="J297" s="385">
        <v>107.77</v>
      </c>
      <c r="K297" s="385">
        <v>107.77</v>
      </c>
      <c r="L297" s="385">
        <v>5350</v>
      </c>
      <c r="M297" s="389">
        <v>576570</v>
      </c>
      <c r="N297" s="465"/>
      <c r="O297" s="473">
        <v>528963.3</v>
      </c>
      <c r="P297" s="474" t="s">
        <v>2885</v>
      </c>
      <c r="Q297" s="504">
        <v>45564</v>
      </c>
      <c r="R297" s="145"/>
      <c r="S297" s="393"/>
      <c r="T297" s="448" t="s">
        <v>2886</v>
      </c>
      <c r="U297" s="448" t="s">
        <v>2886</v>
      </c>
      <c r="V297" s="145">
        <v>35714</v>
      </c>
      <c r="W297" s="146" t="s">
        <v>1228</v>
      </c>
      <c r="X297" s="145">
        <v>15000</v>
      </c>
      <c r="Y297" s="146" t="s">
        <v>2002</v>
      </c>
      <c r="Z297" s="145">
        <v>15000</v>
      </c>
      <c r="AA297" s="146" t="s">
        <v>1846</v>
      </c>
      <c r="AB297" s="145">
        <v>460000</v>
      </c>
      <c r="AC297" s="385" t="s">
        <v>1282</v>
      </c>
      <c r="AD297" s="385">
        <v>30000</v>
      </c>
      <c r="AE297" s="385" t="s">
        <v>1509</v>
      </c>
      <c r="AF297" s="385">
        <v>20000</v>
      </c>
      <c r="AG297" s="385" t="s">
        <v>2201</v>
      </c>
      <c r="AH297" s="145">
        <f t="shared" si="34"/>
        <v>575714</v>
      </c>
      <c r="AK297" s="390">
        <f t="shared" si="37"/>
        <v>856</v>
      </c>
      <c r="AL297" s="456" t="s">
        <v>2887</v>
      </c>
      <c r="AM297" s="456"/>
      <c r="AN297" s="475"/>
      <c r="AO297" s="475"/>
      <c r="AP297" s="475"/>
      <c r="AQ297" s="395">
        <f>0.5%+0.14%</f>
        <v>0.0064</v>
      </c>
      <c r="AR297" s="447">
        <f t="shared" si="35"/>
        <v>575714</v>
      </c>
      <c r="AS297" s="145">
        <f t="shared" si="38"/>
        <v>100</v>
      </c>
      <c r="AT297" s="145"/>
      <c r="AU297" s="145"/>
      <c r="AV297" s="145"/>
      <c r="AW297" s="145"/>
      <c r="AX297" s="145"/>
      <c r="AY297" s="223"/>
      <c r="AZ297" s="125">
        <v>575714</v>
      </c>
      <c r="BA297" s="145"/>
      <c r="BB297" s="145"/>
      <c r="BC297" s="145"/>
      <c r="BD297" s="145"/>
      <c r="BE297" s="145"/>
      <c r="BZ297" s="385" t="s">
        <v>260</v>
      </c>
      <c r="CA297" s="385" t="s">
        <v>271</v>
      </c>
      <c r="CB297" s="385" t="s">
        <v>261</v>
      </c>
      <c r="CE297" s="204"/>
    </row>
    <row r="298" s="385" customFormat="1" customHeight="1" spans="1:83">
      <c r="A298" s="385">
        <v>208</v>
      </c>
      <c r="C298" s="146">
        <v>44937</v>
      </c>
      <c r="D298" s="524" t="s">
        <v>2888</v>
      </c>
      <c r="F298" s="456" t="s">
        <v>2889</v>
      </c>
      <c r="G298" s="468" t="s">
        <v>2890</v>
      </c>
      <c r="H298" s="1028" t="s">
        <v>2891</v>
      </c>
      <c r="I298" s="441" t="s">
        <v>2892</v>
      </c>
      <c r="J298" s="385">
        <v>107.77</v>
      </c>
      <c r="K298" s="385">
        <v>107.77</v>
      </c>
      <c r="L298" s="385">
        <v>5225.58</v>
      </c>
      <c r="M298" s="389">
        <v>563161</v>
      </c>
      <c r="N298" s="465"/>
      <c r="O298" s="473">
        <v>516661.47</v>
      </c>
      <c r="P298" s="474" t="s">
        <v>2893</v>
      </c>
      <c r="Q298" s="504">
        <v>45564</v>
      </c>
      <c r="R298" s="145"/>
      <c r="S298" s="393"/>
      <c r="T298" s="453" t="s">
        <v>2894</v>
      </c>
      <c r="U298" s="445" t="s">
        <v>2895</v>
      </c>
      <c r="V298" s="145">
        <f>20000</f>
        <v>20000</v>
      </c>
      <c r="W298" s="440" t="s">
        <v>2896</v>
      </c>
      <c r="X298" s="145">
        <f>50000+52325</f>
        <v>102325</v>
      </c>
      <c r="Y298" s="496" t="s">
        <v>1769</v>
      </c>
      <c r="Z298" s="145">
        <v>47000</v>
      </c>
      <c r="AA298" s="146" t="s">
        <v>1721</v>
      </c>
      <c r="AB298" s="145">
        <v>393000</v>
      </c>
      <c r="AC298" s="146" t="s">
        <v>1491</v>
      </c>
      <c r="AD298" s="145">
        <v>837</v>
      </c>
      <c r="AE298" s="393" t="s">
        <v>2897</v>
      </c>
      <c r="AF298" s="146"/>
      <c r="AG298" s="146"/>
      <c r="AH298" s="145">
        <f t="shared" si="34"/>
        <v>563162</v>
      </c>
      <c r="AK298" s="390">
        <f t="shared" si="37"/>
        <v>-1</v>
      </c>
      <c r="AL298" s="456" t="s">
        <v>2898</v>
      </c>
      <c r="AM298" s="456"/>
      <c r="AN298" s="475"/>
      <c r="AO298" s="475"/>
      <c r="AP298" s="475"/>
      <c r="AQ298" s="395">
        <f>0.6%+0.04%+0.1%</f>
        <v>0.0074</v>
      </c>
      <c r="AR298" s="447">
        <f t="shared" si="35"/>
        <v>562325</v>
      </c>
      <c r="AS298" s="145"/>
      <c r="AT298" s="145">
        <v>100</v>
      </c>
      <c r="AU298" s="145">
        <v>122325</v>
      </c>
      <c r="AV298" s="145"/>
      <c r="AW298" s="145">
        <v>440000</v>
      </c>
      <c r="AX298" s="145"/>
      <c r="AY298" s="223"/>
      <c r="BA298" s="145"/>
      <c r="BB298" s="145"/>
      <c r="BC298" s="145"/>
      <c r="BD298" s="145"/>
      <c r="BE298" s="145"/>
      <c r="BZ298" s="385" t="s">
        <v>260</v>
      </c>
      <c r="CA298" s="385" t="s">
        <v>271</v>
      </c>
      <c r="CB298" s="385" t="s">
        <v>261</v>
      </c>
      <c r="CE298" s="204"/>
    </row>
    <row r="299" s="385" customFormat="1" customHeight="1" spans="1:83">
      <c r="A299" s="385">
        <v>209</v>
      </c>
      <c r="C299" s="146">
        <v>44966</v>
      </c>
      <c r="D299" s="524" t="s">
        <v>2899</v>
      </c>
      <c r="F299" s="501" t="s">
        <v>2900</v>
      </c>
      <c r="G299" s="448" t="s">
        <v>2901</v>
      </c>
      <c r="H299" s="1030" t="s">
        <v>2902</v>
      </c>
      <c r="I299" s="451" t="s">
        <v>2903</v>
      </c>
      <c r="J299" s="385">
        <v>107.77</v>
      </c>
      <c r="K299" s="385">
        <v>107.77</v>
      </c>
      <c r="L299" s="385">
        <v>5264.88</v>
      </c>
      <c r="M299" s="389">
        <v>567396</v>
      </c>
      <c r="N299" s="465"/>
      <c r="O299" s="473">
        <v>520546.79</v>
      </c>
      <c r="P299" s="474" t="s">
        <v>2904</v>
      </c>
      <c r="Q299" s="504">
        <v>45564</v>
      </c>
      <c r="R299" s="145"/>
      <c r="S299" s="393"/>
      <c r="T299" s="394" t="s">
        <v>2905</v>
      </c>
      <c r="U299" s="393" t="s">
        <v>2906</v>
      </c>
      <c r="V299" s="145">
        <v>16554</v>
      </c>
      <c r="W299" s="385" t="s">
        <v>1259</v>
      </c>
      <c r="X299" s="145">
        <v>100000</v>
      </c>
      <c r="Y299" s="146" t="s">
        <v>1231</v>
      </c>
      <c r="Z299" s="145">
        <v>450000</v>
      </c>
      <c r="AA299" s="393" t="s">
        <v>1057</v>
      </c>
      <c r="AB299" s="145">
        <v>842</v>
      </c>
      <c r="AC299" s="393" t="s">
        <v>1043</v>
      </c>
      <c r="AD299" s="146"/>
      <c r="AE299" s="146"/>
      <c r="AF299" s="146"/>
      <c r="AG299" s="146"/>
      <c r="AH299" s="145">
        <f t="shared" si="34"/>
        <v>567396</v>
      </c>
      <c r="AK299" s="390">
        <f t="shared" si="37"/>
        <v>0</v>
      </c>
      <c r="AL299" s="456" t="s">
        <v>2907</v>
      </c>
      <c r="AM299" s="456"/>
      <c r="AN299" s="475"/>
      <c r="AO299" s="475"/>
      <c r="AP299" s="475"/>
      <c r="AQ299" s="395">
        <f>0.6%+0.1%</f>
        <v>0.007</v>
      </c>
      <c r="AR299" s="447">
        <f t="shared" si="35"/>
        <v>566554</v>
      </c>
      <c r="AS299" s="145">
        <f t="shared" si="38"/>
        <v>100</v>
      </c>
      <c r="AT299" s="145"/>
      <c r="AU299" s="145"/>
      <c r="AV299" s="145"/>
      <c r="AW299" s="145">
        <v>116554</v>
      </c>
      <c r="AX299" s="145"/>
      <c r="AY299" s="223"/>
      <c r="BA299" s="145">
        <v>450000</v>
      </c>
      <c r="BB299" s="145"/>
      <c r="BC299" s="145"/>
      <c r="BD299" s="145"/>
      <c r="BE299" s="145"/>
      <c r="BZ299" s="385" t="s">
        <v>260</v>
      </c>
      <c r="CA299" s="385" t="s">
        <v>271</v>
      </c>
      <c r="CB299" s="385" t="s">
        <v>261</v>
      </c>
      <c r="CE299" s="204"/>
    </row>
    <row r="300" s="385" customFormat="1" customHeight="1" spans="1:83">
      <c r="A300" s="385">
        <v>210</v>
      </c>
      <c r="C300" s="146">
        <v>45093</v>
      </c>
      <c r="D300" s="524" t="s">
        <v>2908</v>
      </c>
      <c r="F300" s="456" t="s">
        <v>2909</v>
      </c>
      <c r="G300" s="468" t="s">
        <v>2910</v>
      </c>
      <c r="H300" s="1028" t="s">
        <v>2911</v>
      </c>
      <c r="I300" s="441" t="s">
        <v>2912</v>
      </c>
      <c r="J300" s="385">
        <v>107.77</v>
      </c>
      <c r="K300" s="385">
        <v>107.77</v>
      </c>
      <c r="L300" s="385">
        <v>5270.58</v>
      </c>
      <c r="M300" s="389">
        <v>568010</v>
      </c>
      <c r="N300" s="465"/>
      <c r="O300" s="473">
        <v>521110.09</v>
      </c>
      <c r="P300" s="474" t="s">
        <v>2913</v>
      </c>
      <c r="Q300" s="504">
        <v>45564</v>
      </c>
      <c r="R300" s="145"/>
      <c r="S300" s="393"/>
      <c r="T300" s="394" t="s">
        <v>2914</v>
      </c>
      <c r="U300" s="393" t="s">
        <v>2915</v>
      </c>
      <c r="V300" s="145">
        <v>2000</v>
      </c>
      <c r="W300" s="146">
        <v>44759</v>
      </c>
      <c r="X300" s="145">
        <v>18000</v>
      </c>
      <c r="Y300" s="146" t="s">
        <v>1280</v>
      </c>
      <c r="Z300" s="145">
        <v>277167</v>
      </c>
      <c r="AA300" s="146" t="s">
        <v>2579</v>
      </c>
      <c r="AB300" s="145">
        <v>270000</v>
      </c>
      <c r="AC300" s="393" t="s">
        <v>1899</v>
      </c>
      <c r="AD300" s="145">
        <v>844</v>
      </c>
      <c r="AE300" s="393" t="s">
        <v>2916</v>
      </c>
      <c r="AH300" s="145">
        <f t="shared" si="34"/>
        <v>568011</v>
      </c>
      <c r="AK300" s="390">
        <f t="shared" si="37"/>
        <v>-1</v>
      </c>
      <c r="AL300" s="456" t="s">
        <v>2917</v>
      </c>
      <c r="AM300" s="456"/>
      <c r="AN300" s="475"/>
      <c r="AO300" s="475"/>
      <c r="AP300" s="475"/>
      <c r="AQ300" s="395">
        <f>0.6%+0.1%</f>
        <v>0.007</v>
      </c>
      <c r="AR300" s="447">
        <f t="shared" si="35"/>
        <v>567167</v>
      </c>
      <c r="AS300" s="145">
        <f t="shared" si="38"/>
        <v>100</v>
      </c>
      <c r="AT300" s="145"/>
      <c r="AU300" s="145"/>
      <c r="AV300" s="145"/>
      <c r="AW300" s="145"/>
      <c r="AX300" s="145"/>
      <c r="AY300" s="223"/>
      <c r="AZ300" s="125"/>
      <c r="BA300" s="145">
        <v>567167</v>
      </c>
      <c r="BB300" s="145"/>
      <c r="BC300" s="145"/>
      <c r="BD300" s="145"/>
      <c r="BE300" s="145"/>
      <c r="BZ300" s="385" t="s">
        <v>260</v>
      </c>
      <c r="CA300" s="385" t="s">
        <v>271</v>
      </c>
      <c r="CB300" s="385" t="s">
        <v>261</v>
      </c>
      <c r="CE300" s="204"/>
    </row>
    <row r="301" s="385" customFormat="1" customHeight="1" spans="1:83">
      <c r="A301" s="385">
        <v>211</v>
      </c>
      <c r="C301" s="146">
        <v>45003</v>
      </c>
      <c r="D301" s="385">
        <v>20230002570</v>
      </c>
      <c r="F301" s="513" t="s">
        <v>2918</v>
      </c>
      <c r="G301" s="448" t="s">
        <v>2919</v>
      </c>
      <c r="H301" s="1030" t="s">
        <v>2920</v>
      </c>
      <c r="I301" s="451" t="s">
        <v>2921</v>
      </c>
      <c r="J301" s="385">
        <v>107.77</v>
      </c>
      <c r="K301" s="385">
        <v>107.77</v>
      </c>
      <c r="L301" s="385">
        <v>5625</v>
      </c>
      <c r="M301" s="389">
        <v>606206</v>
      </c>
      <c r="N301" s="534">
        <v>5543.4</v>
      </c>
      <c r="O301" s="535">
        <v>556152.29</v>
      </c>
      <c r="P301" s="474" t="s">
        <v>2922</v>
      </c>
      <c r="Q301" s="504">
        <v>45564</v>
      </c>
      <c r="R301" s="145"/>
      <c r="S301" s="393"/>
      <c r="T301" s="393" t="s">
        <v>2919</v>
      </c>
      <c r="U301" s="393" t="s">
        <v>2923</v>
      </c>
      <c r="V301" s="145">
        <v>20000</v>
      </c>
      <c r="W301" s="146" t="s">
        <v>2076</v>
      </c>
      <c r="X301" s="145">
        <f>80000+25306</f>
        <v>105306</v>
      </c>
      <c r="Y301" s="471" t="s">
        <v>2924</v>
      </c>
      <c r="Z301" s="145">
        <v>480000</v>
      </c>
      <c r="AA301" s="393" t="s">
        <v>1787</v>
      </c>
      <c r="AB301" s="145">
        <v>900</v>
      </c>
      <c r="AC301" s="393" t="s">
        <v>505</v>
      </c>
      <c r="AH301" s="145">
        <f t="shared" si="34"/>
        <v>606206</v>
      </c>
      <c r="AK301" s="390">
        <f t="shared" si="37"/>
        <v>0</v>
      </c>
      <c r="AL301" s="456" t="s">
        <v>2925</v>
      </c>
      <c r="AM301" s="456"/>
      <c r="AN301" s="536"/>
      <c r="AO301" s="536"/>
      <c r="AP301" s="536"/>
      <c r="AQ301" s="395">
        <f>0.6%+0.06%+0.14%+0.06%</f>
        <v>0.0086</v>
      </c>
      <c r="AR301" s="447">
        <f t="shared" si="35"/>
        <v>605306</v>
      </c>
      <c r="AS301" s="145"/>
      <c r="AT301" s="145"/>
      <c r="AU301" s="145"/>
      <c r="AV301" s="145"/>
      <c r="AW301" s="145">
        <v>125306</v>
      </c>
      <c r="AX301" s="145"/>
      <c r="AY301" s="223"/>
      <c r="BA301" s="145"/>
      <c r="BB301" s="145">
        <v>480000</v>
      </c>
      <c r="BC301" s="145"/>
      <c r="BD301" s="145"/>
      <c r="BE301" s="145"/>
      <c r="BZ301" s="385" t="s">
        <v>260</v>
      </c>
      <c r="CA301" s="385" t="s">
        <v>271</v>
      </c>
      <c r="CB301" s="385" t="s">
        <v>261</v>
      </c>
      <c r="CE301" s="204"/>
    </row>
    <row r="302" s="385" customFormat="1" customHeight="1" spans="1:83">
      <c r="A302" s="385">
        <v>212</v>
      </c>
      <c r="C302" s="146">
        <v>44964</v>
      </c>
      <c r="D302" s="385">
        <v>20230000856</v>
      </c>
      <c r="F302" s="501" t="s">
        <v>2926</v>
      </c>
      <c r="G302" s="142" t="s">
        <v>2927</v>
      </c>
      <c r="H302" s="1031" t="s">
        <v>2928</v>
      </c>
      <c r="I302" s="441" t="s">
        <v>2929</v>
      </c>
      <c r="J302" s="385">
        <v>107.77</v>
      </c>
      <c r="K302" s="385">
        <v>107.77</v>
      </c>
      <c r="L302" s="385">
        <v>5315.58</v>
      </c>
      <c r="M302" s="389">
        <v>572860</v>
      </c>
      <c r="N302" s="465"/>
      <c r="O302" s="473">
        <v>525559.63</v>
      </c>
      <c r="P302" s="474" t="s">
        <v>2930</v>
      </c>
      <c r="Q302" s="504">
        <v>45564</v>
      </c>
      <c r="R302" s="145"/>
      <c r="S302" s="393"/>
      <c r="T302" s="453" t="s">
        <v>2931</v>
      </c>
      <c r="U302" s="445" t="s">
        <v>2932</v>
      </c>
      <c r="V302" s="145">
        <v>115010</v>
      </c>
      <c r="W302" s="385" t="s">
        <v>1324</v>
      </c>
      <c r="X302" s="385">
        <v>257000</v>
      </c>
      <c r="Y302" s="385" t="s">
        <v>1333</v>
      </c>
      <c r="Z302" s="145">
        <v>200000</v>
      </c>
      <c r="AA302" s="385" t="s">
        <v>1472</v>
      </c>
      <c r="AB302" s="145">
        <v>851</v>
      </c>
      <c r="AC302" s="393" t="s">
        <v>541</v>
      </c>
      <c r="AH302" s="145">
        <f t="shared" si="34"/>
        <v>572861</v>
      </c>
      <c r="AK302" s="390">
        <f t="shared" si="37"/>
        <v>-1</v>
      </c>
      <c r="AL302" s="456" t="s">
        <v>2933</v>
      </c>
      <c r="AM302" s="456"/>
      <c r="AN302" s="475"/>
      <c r="AO302" s="475"/>
      <c r="AP302" s="475"/>
      <c r="AQ302" s="395">
        <f>0.4%+0.04%+0.1%</f>
        <v>0.0054</v>
      </c>
      <c r="AR302" s="447">
        <f t="shared" si="35"/>
        <v>572010</v>
      </c>
      <c r="AS302" s="145">
        <f>100</f>
        <v>100</v>
      </c>
      <c r="AT302" s="145"/>
      <c r="AU302" s="145"/>
      <c r="AV302" s="145">
        <v>115010</v>
      </c>
      <c r="AW302" s="145"/>
      <c r="AX302" s="145">
        <v>457000</v>
      </c>
      <c r="AY302" s="223"/>
      <c r="BA302" s="145"/>
      <c r="BB302" s="145"/>
      <c r="BC302" s="145"/>
      <c r="BD302" s="145"/>
      <c r="BE302" s="145"/>
      <c r="BZ302" s="385" t="s">
        <v>260</v>
      </c>
      <c r="CA302" s="385" t="s">
        <v>271</v>
      </c>
      <c r="CB302" s="385" t="s">
        <v>261</v>
      </c>
      <c r="CE302" s="204"/>
    </row>
    <row r="303" s="385" customFormat="1" customHeight="1" spans="1:83">
      <c r="A303" s="385">
        <v>213</v>
      </c>
      <c r="C303" s="146">
        <v>44967</v>
      </c>
      <c r="D303" s="524" t="s">
        <v>2934</v>
      </c>
      <c r="F303" s="456" t="s">
        <v>2935</v>
      </c>
      <c r="G303" s="448" t="s">
        <v>2936</v>
      </c>
      <c r="H303" s="448"/>
      <c r="I303" s="451" t="s">
        <v>2937</v>
      </c>
      <c r="J303" s="385">
        <v>107.77</v>
      </c>
      <c r="K303" s="385">
        <v>107.77</v>
      </c>
      <c r="L303" s="385">
        <v>5390.51</v>
      </c>
      <c r="M303" s="389">
        <v>580935</v>
      </c>
      <c r="N303" s="465"/>
      <c r="O303" s="473">
        <v>532967.89</v>
      </c>
      <c r="P303" s="474" t="s">
        <v>2938</v>
      </c>
      <c r="Q303" s="504">
        <v>45564</v>
      </c>
      <c r="R303" s="145"/>
      <c r="S303" s="393"/>
      <c r="T303" s="448" t="s">
        <v>2939</v>
      </c>
      <c r="U303" s="448" t="s">
        <v>2939</v>
      </c>
      <c r="V303" s="145">
        <v>300073</v>
      </c>
      <c r="W303" s="146" t="s">
        <v>1228</v>
      </c>
      <c r="X303" s="145">
        <v>280000</v>
      </c>
      <c r="Y303" s="393" t="s">
        <v>858</v>
      </c>
      <c r="Z303" s="145">
        <v>863</v>
      </c>
      <c r="AA303" s="393" t="s">
        <v>2940</v>
      </c>
      <c r="AB303" s="145"/>
      <c r="AH303" s="145">
        <f t="shared" si="34"/>
        <v>580936</v>
      </c>
      <c r="AK303" s="390">
        <f t="shared" si="37"/>
        <v>-1</v>
      </c>
      <c r="AL303" s="456" t="s">
        <v>2941</v>
      </c>
      <c r="AM303" s="456"/>
      <c r="AN303" s="475"/>
      <c r="AO303" s="475"/>
      <c r="AP303" s="475"/>
      <c r="AQ303" s="395">
        <f>0.6%+0.06%+0.14%</f>
        <v>0.008</v>
      </c>
      <c r="AR303" s="447">
        <f t="shared" si="35"/>
        <v>580073</v>
      </c>
      <c r="AS303" s="145"/>
      <c r="AT303" s="145">
        <v>100</v>
      </c>
      <c r="AU303" s="145"/>
      <c r="AV303" s="145">
        <v>300073</v>
      </c>
      <c r="AW303" s="145"/>
      <c r="AX303" s="145"/>
      <c r="AY303" s="223"/>
      <c r="BA303" s="145">
        <v>280000</v>
      </c>
      <c r="BB303" s="145"/>
      <c r="BC303" s="145"/>
      <c r="BD303" s="145"/>
      <c r="BE303" s="145"/>
      <c r="BZ303" s="385" t="s">
        <v>260</v>
      </c>
      <c r="CA303" s="385" t="s">
        <v>271</v>
      </c>
      <c r="CB303" s="385" t="s">
        <v>261</v>
      </c>
      <c r="CE303" s="204"/>
    </row>
    <row r="304" s="385" customFormat="1" customHeight="1" spans="1:83">
      <c r="A304" s="385">
        <v>214</v>
      </c>
      <c r="C304" s="146">
        <v>44967</v>
      </c>
      <c r="D304" s="524" t="s">
        <v>2942</v>
      </c>
      <c r="F304" s="1026" t="s">
        <v>2943</v>
      </c>
      <c r="G304" s="448" t="s">
        <v>2944</v>
      </c>
      <c r="H304" s="448"/>
      <c r="I304" s="441" t="s">
        <v>2945</v>
      </c>
      <c r="J304" s="385">
        <v>107.77</v>
      </c>
      <c r="K304" s="385">
        <v>107.77</v>
      </c>
      <c r="L304" s="385">
        <v>5421.87</v>
      </c>
      <c r="M304" s="389">
        <v>584315</v>
      </c>
      <c r="N304" s="465"/>
      <c r="O304" s="473">
        <v>536068.81</v>
      </c>
      <c r="P304" s="474" t="s">
        <v>2946</v>
      </c>
      <c r="Q304" s="504">
        <v>45564</v>
      </c>
      <c r="R304" s="145"/>
      <c r="S304" s="498"/>
      <c r="T304" s="448" t="s">
        <v>2947</v>
      </c>
      <c r="U304" s="448" t="s">
        <v>2948</v>
      </c>
      <c r="V304" s="145">
        <v>3447</v>
      </c>
      <c r="W304" s="548" t="s">
        <v>1228</v>
      </c>
      <c r="X304" s="145">
        <v>240000</v>
      </c>
      <c r="Y304" s="548" t="s">
        <v>1349</v>
      </c>
      <c r="Z304" s="145">
        <v>340000</v>
      </c>
      <c r="AA304" s="498" t="s">
        <v>2622</v>
      </c>
      <c r="AB304" s="145">
        <v>868</v>
      </c>
      <c r="AC304" s="498" t="s">
        <v>2940</v>
      </c>
      <c r="AH304" s="145">
        <f t="shared" si="34"/>
        <v>584315</v>
      </c>
      <c r="AK304" s="390">
        <f t="shared" si="37"/>
        <v>0</v>
      </c>
      <c r="AL304" s="456" t="s">
        <v>2949</v>
      </c>
      <c r="AM304" s="456"/>
      <c r="AN304" s="475"/>
      <c r="AO304" s="475"/>
      <c r="AP304" s="475"/>
      <c r="AQ304" s="395">
        <f>0.6%+0.06%+0.14%+0.06%</f>
        <v>0.0086</v>
      </c>
      <c r="AR304" s="447">
        <f t="shared" si="35"/>
        <v>583447</v>
      </c>
      <c r="AS304" s="145"/>
      <c r="AT304" s="145"/>
      <c r="AU304" s="145"/>
      <c r="AV304" s="145"/>
      <c r="AW304" s="145"/>
      <c r="AX304" s="145"/>
      <c r="AY304" s="223">
        <v>243447</v>
      </c>
      <c r="BA304" s="145"/>
      <c r="BB304" s="145">
        <v>340000</v>
      </c>
      <c r="BC304" s="145"/>
      <c r="BD304" s="145"/>
      <c r="BE304" s="145"/>
      <c r="BZ304" s="385" t="s">
        <v>260</v>
      </c>
      <c r="CA304" s="385" t="s">
        <v>271</v>
      </c>
      <c r="CB304" s="385" t="s">
        <v>261</v>
      </c>
      <c r="CE304" s="204"/>
    </row>
    <row r="305" s="385" customFormat="1" customHeight="1" spans="1:83">
      <c r="A305" s="385">
        <v>215</v>
      </c>
      <c r="C305" s="146">
        <v>45253</v>
      </c>
      <c r="D305" s="524" t="s">
        <v>2950</v>
      </c>
      <c r="F305" s="456" t="s">
        <v>2951</v>
      </c>
      <c r="G305" s="448" t="s">
        <v>2645</v>
      </c>
      <c r="H305" s="1030" t="s">
        <v>2952</v>
      </c>
      <c r="I305" s="451" t="s">
        <v>2953</v>
      </c>
      <c r="J305" s="385">
        <v>107.77</v>
      </c>
      <c r="K305" s="385">
        <v>107.77</v>
      </c>
      <c r="L305" s="385">
        <v>5688.23</v>
      </c>
      <c r="M305" s="389">
        <v>613020</v>
      </c>
      <c r="N305" s="465">
        <v>5615.74</v>
      </c>
      <c r="O305" s="473">
        <v>562403.67</v>
      </c>
      <c r="P305" s="474" t="s">
        <v>2954</v>
      </c>
      <c r="Q305" s="476">
        <v>45617</v>
      </c>
      <c r="R305" s="145"/>
      <c r="S305" s="393"/>
      <c r="T305" s="393" t="s">
        <v>2645</v>
      </c>
      <c r="U305" s="393" t="s">
        <v>2955</v>
      </c>
      <c r="V305" s="145">
        <v>20000</v>
      </c>
      <c r="W305" s="146" t="s">
        <v>2783</v>
      </c>
      <c r="X305" s="145">
        <v>103110</v>
      </c>
      <c r="Y305" s="393" t="s">
        <v>2956</v>
      </c>
      <c r="Z305" s="145">
        <v>489000</v>
      </c>
      <c r="AA305" s="393" t="s">
        <v>624</v>
      </c>
      <c r="AB305" s="145">
        <v>910</v>
      </c>
      <c r="AC305" s="393" t="s">
        <v>2957</v>
      </c>
      <c r="AH305" s="145">
        <f t="shared" si="34"/>
        <v>613020</v>
      </c>
      <c r="AK305" s="390">
        <f t="shared" si="37"/>
        <v>0</v>
      </c>
      <c r="AL305" s="456" t="s">
        <v>2958</v>
      </c>
      <c r="AM305" s="456"/>
      <c r="AN305" s="475"/>
      <c r="AO305" s="475"/>
      <c r="AP305" s="475"/>
      <c r="AQ305" s="395">
        <f>0.6%+0.06%+0.14%+0.06%</f>
        <v>0.0086</v>
      </c>
      <c r="AR305" s="447">
        <f t="shared" si="35"/>
        <v>612110</v>
      </c>
      <c r="AS305" s="145"/>
      <c r="AT305" s="145"/>
      <c r="AU305" s="145"/>
      <c r="AV305" s="145"/>
      <c r="AW305" s="145"/>
      <c r="AX305" s="145"/>
      <c r="AY305" s="223"/>
      <c r="BA305" s="145"/>
      <c r="BB305" s="145"/>
      <c r="BC305" s="145"/>
      <c r="BD305" s="145"/>
      <c r="BE305" s="145">
        <v>123110</v>
      </c>
      <c r="BG305" s="385">
        <v>489000</v>
      </c>
      <c r="BZ305" s="385" t="s">
        <v>260</v>
      </c>
      <c r="CA305" s="385" t="s">
        <v>271</v>
      </c>
      <c r="CB305" s="385" t="s">
        <v>261</v>
      </c>
      <c r="CE305" s="204"/>
    </row>
    <row r="306" s="385" customFormat="1" customHeight="1" spans="1:83">
      <c r="A306" s="385">
        <v>216</v>
      </c>
      <c r="C306" s="146">
        <v>45004</v>
      </c>
      <c r="D306" s="385">
        <v>20230002599</v>
      </c>
      <c r="F306" s="503" t="s">
        <v>2959</v>
      </c>
      <c r="G306" s="448" t="s">
        <v>2960</v>
      </c>
      <c r="H306" s="1030" t="s">
        <v>2961</v>
      </c>
      <c r="I306" s="441" t="s">
        <v>2962</v>
      </c>
      <c r="J306" s="385">
        <v>107.77</v>
      </c>
      <c r="K306" s="385">
        <v>107.77</v>
      </c>
      <c r="L306" s="385">
        <v>5694.3</v>
      </c>
      <c r="M306" s="389">
        <v>613675</v>
      </c>
      <c r="N306" s="145">
        <v>5621.63</v>
      </c>
      <c r="O306" s="390">
        <v>563004.59</v>
      </c>
      <c r="P306" s="1035" t="s">
        <v>2963</v>
      </c>
      <c r="Q306" s="504">
        <v>45564</v>
      </c>
      <c r="R306" s="145"/>
      <c r="S306" s="393"/>
      <c r="T306" s="393" t="s">
        <v>2964</v>
      </c>
      <c r="U306" s="393" t="s">
        <v>2965</v>
      </c>
      <c r="V306" s="145">
        <v>764</v>
      </c>
      <c r="W306" s="146" t="s">
        <v>2076</v>
      </c>
      <c r="X306" s="145">
        <v>122000</v>
      </c>
      <c r="Y306" s="146" t="s">
        <v>1282</v>
      </c>
      <c r="Z306" s="145">
        <v>490000</v>
      </c>
      <c r="AA306" s="393" t="s">
        <v>1935</v>
      </c>
      <c r="AB306" s="145">
        <v>912</v>
      </c>
      <c r="AC306" s="393" t="s">
        <v>2683</v>
      </c>
      <c r="AH306" s="145">
        <f t="shared" si="34"/>
        <v>613676</v>
      </c>
      <c r="AK306" s="390">
        <f t="shared" si="37"/>
        <v>-1</v>
      </c>
      <c r="AL306" s="456" t="s">
        <v>2966</v>
      </c>
      <c r="AM306" s="456"/>
      <c r="AN306" s="469"/>
      <c r="AO306" s="469"/>
      <c r="AP306" s="469"/>
      <c r="AQ306" s="395">
        <f>0.6%+0.06%+0.14%+0.06%</f>
        <v>0.0086</v>
      </c>
      <c r="AR306" s="447">
        <f t="shared" si="35"/>
        <v>612764</v>
      </c>
      <c r="AS306" s="145"/>
      <c r="AT306" s="145"/>
      <c r="AU306" s="145"/>
      <c r="AV306" s="145"/>
      <c r="AW306" s="145"/>
      <c r="AX306" s="145"/>
      <c r="AY306" s="223">
        <v>122764</v>
      </c>
      <c r="BA306" s="145"/>
      <c r="BB306" s="145">
        <v>490000</v>
      </c>
      <c r="BC306" s="145"/>
      <c r="BD306" s="145"/>
      <c r="BE306" s="145"/>
      <c r="BZ306" s="385" t="s">
        <v>260</v>
      </c>
      <c r="CA306" s="385" t="s">
        <v>271</v>
      </c>
      <c r="CB306" s="385" t="s">
        <v>261</v>
      </c>
      <c r="CE306" s="204"/>
    </row>
    <row r="307" s="385" customFormat="1" customHeight="1" spans="1:83">
      <c r="A307" s="385">
        <v>217</v>
      </c>
      <c r="C307" s="146">
        <v>44937</v>
      </c>
      <c r="D307" s="385">
        <v>20230000302</v>
      </c>
      <c r="F307" s="456" t="s">
        <v>2967</v>
      </c>
      <c r="G307" s="448" t="s">
        <v>2968</v>
      </c>
      <c r="H307" s="1030" t="s">
        <v>2969</v>
      </c>
      <c r="I307" s="441" t="s">
        <v>2970</v>
      </c>
      <c r="J307" s="385">
        <v>107.77</v>
      </c>
      <c r="K307" s="385">
        <v>107.77</v>
      </c>
      <c r="L307" s="385">
        <v>5399.88</v>
      </c>
      <c r="M307" s="389">
        <v>581945</v>
      </c>
      <c r="N307" s="534"/>
      <c r="O307" s="535">
        <v>533894.5</v>
      </c>
      <c r="P307" s="474" t="s">
        <v>2971</v>
      </c>
      <c r="Q307" s="504">
        <v>45564</v>
      </c>
      <c r="R307" s="145"/>
      <c r="S307" s="393"/>
      <c r="T307" s="394" t="s">
        <v>2972</v>
      </c>
      <c r="U307" s="393" t="s">
        <v>2973</v>
      </c>
      <c r="V307" s="145">
        <v>1000</v>
      </c>
      <c r="W307" s="146" t="s">
        <v>2974</v>
      </c>
      <c r="X307" s="145">
        <v>19000</v>
      </c>
      <c r="Y307" s="146" t="s">
        <v>1280</v>
      </c>
      <c r="Z307" s="145">
        <v>155081</v>
      </c>
      <c r="AA307" s="146" t="s">
        <v>1769</v>
      </c>
      <c r="AB307" s="145">
        <v>406000</v>
      </c>
      <c r="AC307" s="146" t="s">
        <v>1597</v>
      </c>
      <c r="AD307" s="145">
        <v>864</v>
      </c>
      <c r="AE307" s="393" t="s">
        <v>2683</v>
      </c>
      <c r="AF307" s="146"/>
      <c r="AG307" s="146"/>
      <c r="AH307" s="145">
        <f t="shared" si="34"/>
        <v>581945</v>
      </c>
      <c r="AK307" s="390">
        <f t="shared" si="37"/>
        <v>0</v>
      </c>
      <c r="AL307" s="456" t="s">
        <v>2975</v>
      </c>
      <c r="AM307" s="456"/>
      <c r="AN307" s="536"/>
      <c r="AO307" s="536"/>
      <c r="AP307" s="536"/>
      <c r="AQ307" s="395">
        <f>0.4%+0.04%+0.1%</f>
        <v>0.0054</v>
      </c>
      <c r="AR307" s="447">
        <f t="shared" si="35"/>
        <v>581081</v>
      </c>
      <c r="AS307" s="145"/>
      <c r="AT307" s="145"/>
      <c r="AU307" s="145">
        <v>175081</v>
      </c>
      <c r="AV307" s="145"/>
      <c r="AW307" s="145"/>
      <c r="AX307" s="145">
        <v>406000</v>
      </c>
      <c r="AY307" s="223"/>
      <c r="BA307" s="145"/>
      <c r="BB307" s="145"/>
      <c r="BC307" s="145"/>
      <c r="BD307" s="145"/>
      <c r="BE307" s="145"/>
      <c r="BZ307" s="385" t="s">
        <v>260</v>
      </c>
      <c r="CA307" s="385" t="s">
        <v>271</v>
      </c>
      <c r="CB307" s="385" t="s">
        <v>261</v>
      </c>
      <c r="CE307" s="204"/>
    </row>
    <row r="308" s="385" customFormat="1" customHeight="1" spans="1:83">
      <c r="A308" s="385">
        <v>218</v>
      </c>
      <c r="C308" s="146">
        <v>45164</v>
      </c>
      <c r="D308" s="524" t="s">
        <v>2976</v>
      </c>
      <c r="F308" s="456" t="s">
        <v>2977</v>
      </c>
      <c r="G308" s="385" t="s">
        <v>2978</v>
      </c>
      <c r="H308" s="1026" t="s">
        <v>2979</v>
      </c>
      <c r="I308" s="441" t="s">
        <v>2980</v>
      </c>
      <c r="J308" s="385">
        <v>107.77</v>
      </c>
      <c r="K308" s="385">
        <v>107.77</v>
      </c>
      <c r="L308" s="385">
        <v>5975.28</v>
      </c>
      <c r="M308" s="389">
        <v>643956</v>
      </c>
      <c r="N308" s="465">
        <v>5942.3</v>
      </c>
      <c r="O308" s="473">
        <v>590785.32</v>
      </c>
      <c r="P308" s="474" t="s">
        <v>2981</v>
      </c>
      <c r="Q308" s="504">
        <v>45564</v>
      </c>
      <c r="R308" s="145"/>
      <c r="S308" s="393"/>
      <c r="U308" s="393" t="s">
        <v>561</v>
      </c>
      <c r="V308" s="145">
        <v>20000</v>
      </c>
      <c r="W308" s="393" t="s">
        <v>1782</v>
      </c>
      <c r="X308" s="145">
        <f>3000+170000</f>
        <v>173000</v>
      </c>
      <c r="Y308" s="466" t="s">
        <v>2456</v>
      </c>
      <c r="Z308" s="145">
        <v>450000</v>
      </c>
      <c r="AA308" s="393" t="s">
        <v>2982</v>
      </c>
      <c r="AB308" s="145">
        <v>956</v>
      </c>
      <c r="AC308" s="393" t="s">
        <v>1043</v>
      </c>
      <c r="AD308" s="146"/>
      <c r="AE308" s="146"/>
      <c r="AF308" s="146"/>
      <c r="AG308" s="146"/>
      <c r="AH308" s="145">
        <f t="shared" si="34"/>
        <v>643956</v>
      </c>
      <c r="AK308" s="390">
        <f t="shared" si="37"/>
        <v>0</v>
      </c>
      <c r="AL308" s="456" t="s">
        <v>2983</v>
      </c>
      <c r="AM308" s="456"/>
      <c r="AN308" s="475"/>
      <c r="AO308" s="475"/>
      <c r="AP308" s="475"/>
      <c r="AQ308" s="140">
        <f>0.7%+0.05%+0.12%</f>
        <v>0.0087</v>
      </c>
      <c r="AR308" s="447">
        <f t="shared" si="35"/>
        <v>643000</v>
      </c>
      <c r="AS308" s="145"/>
      <c r="AT308" s="145"/>
      <c r="AU308" s="145"/>
      <c r="AV308" s="145"/>
      <c r="AW308" s="145"/>
      <c r="AX308" s="145"/>
      <c r="AY308" s="223"/>
      <c r="BA308" s="145"/>
      <c r="BB308" s="145">
        <v>193000</v>
      </c>
      <c r="BC308" s="145"/>
      <c r="BD308" s="145">
        <v>450000</v>
      </c>
      <c r="BE308" s="145"/>
      <c r="BZ308" s="385" t="s">
        <v>260</v>
      </c>
      <c r="CA308" s="385" t="s">
        <v>271</v>
      </c>
      <c r="CB308" s="385" t="s">
        <v>261</v>
      </c>
      <c r="CE308" s="204"/>
    </row>
    <row r="309" s="385" customFormat="1" customHeight="1" spans="1:83">
      <c r="A309" s="385">
        <v>219</v>
      </c>
      <c r="C309" s="146">
        <v>45397</v>
      </c>
      <c r="D309" s="524" t="s">
        <v>2984</v>
      </c>
      <c r="F309" s="456" t="s">
        <v>2985</v>
      </c>
      <c r="G309" s="448" t="s">
        <v>2986</v>
      </c>
      <c r="H309" s="1030" t="s">
        <v>2987</v>
      </c>
      <c r="I309" s="441" t="s">
        <v>2988</v>
      </c>
      <c r="J309" s="385">
        <v>107.77</v>
      </c>
      <c r="K309" s="385">
        <v>107.77</v>
      </c>
      <c r="L309" s="385">
        <v>7025</v>
      </c>
      <c r="M309" s="464">
        <v>757124</v>
      </c>
      <c r="N309" s="465">
        <v>6968.5</v>
      </c>
      <c r="O309" s="473">
        <v>694609.17</v>
      </c>
      <c r="P309" s="474" t="s">
        <v>2989</v>
      </c>
      <c r="Q309" s="504">
        <v>45564</v>
      </c>
      <c r="R309" s="145">
        <v>1124</v>
      </c>
      <c r="S309" s="393">
        <v>46104</v>
      </c>
      <c r="T309" s="393"/>
      <c r="U309" s="393" t="s">
        <v>546</v>
      </c>
      <c r="V309" s="145">
        <v>20000</v>
      </c>
      <c r="W309" s="393" t="s">
        <v>2990</v>
      </c>
      <c r="X309" s="145">
        <v>76000</v>
      </c>
      <c r="Y309" s="471" t="s">
        <v>438</v>
      </c>
      <c r="Z309" s="145">
        <v>60000</v>
      </c>
      <c r="AA309" s="393" t="s">
        <v>966</v>
      </c>
      <c r="AB309" s="145">
        <v>600000</v>
      </c>
      <c r="AD309" s="145">
        <v>1124</v>
      </c>
      <c r="AE309" s="393">
        <v>46104</v>
      </c>
      <c r="AH309" s="145">
        <f t="shared" si="34"/>
        <v>757124</v>
      </c>
      <c r="AK309" s="390">
        <f t="shared" si="37"/>
        <v>0</v>
      </c>
      <c r="AL309" s="456" t="s">
        <v>2991</v>
      </c>
      <c r="AM309" s="456"/>
      <c r="AN309" s="475"/>
      <c r="AO309" s="475"/>
      <c r="AP309" s="475"/>
      <c r="AQ309" s="169">
        <f>0.7%+0.12%</f>
        <v>0.0082</v>
      </c>
      <c r="AR309" s="447">
        <f t="shared" si="35"/>
        <v>756000</v>
      </c>
      <c r="AS309" s="145"/>
      <c r="AT309" s="145">
        <v>100</v>
      </c>
      <c r="AU309" s="145"/>
      <c r="AV309" s="145"/>
      <c r="AW309" s="145"/>
      <c r="AX309" s="145"/>
      <c r="AY309" s="223"/>
      <c r="BA309" s="145"/>
      <c r="BB309" s="145"/>
      <c r="BC309" s="145"/>
      <c r="BD309" s="145"/>
      <c r="BE309" s="145"/>
      <c r="BK309" s="385">
        <v>756000</v>
      </c>
      <c r="BZ309" s="385" t="s">
        <v>260</v>
      </c>
      <c r="CA309" s="385" t="s">
        <v>271</v>
      </c>
      <c r="CB309" s="385" t="s">
        <v>261</v>
      </c>
      <c r="CE309" s="204"/>
    </row>
    <row r="310" s="385" customFormat="1" customHeight="1" spans="1:83">
      <c r="A310" s="385">
        <v>220</v>
      </c>
      <c r="C310" s="146">
        <v>45670</v>
      </c>
      <c r="D310" s="524" t="s">
        <v>2992</v>
      </c>
      <c r="E310" s="385" t="s">
        <v>2993</v>
      </c>
      <c r="F310" s="456" t="s">
        <v>2994</v>
      </c>
      <c r="G310" s="448" t="s">
        <v>2995</v>
      </c>
      <c r="H310" s="448"/>
      <c r="I310" s="441" t="s">
        <v>2996</v>
      </c>
      <c r="J310" s="385">
        <v>107.77</v>
      </c>
      <c r="K310" s="385">
        <v>107.77</v>
      </c>
      <c r="L310" s="385">
        <f>M310/K310</f>
        <v>7410.47601373295</v>
      </c>
      <c r="M310" s="464">
        <v>798627</v>
      </c>
      <c r="N310" s="465">
        <v>6976.2</v>
      </c>
      <c r="O310" s="473">
        <v>732685.32</v>
      </c>
      <c r="P310" s="474" t="s">
        <v>2997</v>
      </c>
      <c r="Q310" s="476">
        <v>45673</v>
      </c>
      <c r="R310" s="145"/>
      <c r="S310" s="393"/>
      <c r="T310" s="393"/>
      <c r="U310" s="393"/>
      <c r="V310" s="145">
        <v>798627</v>
      </c>
      <c r="W310" s="393" t="s">
        <v>2998</v>
      </c>
      <c r="X310" s="145"/>
      <c r="Y310" s="471"/>
      <c r="Z310" s="145"/>
      <c r="AB310" s="145"/>
      <c r="AH310" s="145">
        <f t="shared" si="34"/>
        <v>798627</v>
      </c>
      <c r="AK310" s="390">
        <f t="shared" si="37"/>
        <v>0</v>
      </c>
      <c r="AL310" s="456" t="s">
        <v>2999</v>
      </c>
      <c r="AM310" s="456"/>
      <c r="AN310" s="475"/>
      <c r="AO310" s="475"/>
      <c r="AP310" s="475"/>
      <c r="AQ310" s="395"/>
      <c r="AR310" s="447">
        <f t="shared" si="35"/>
        <v>0</v>
      </c>
      <c r="AS310" s="145">
        <f>100</f>
        <v>100</v>
      </c>
      <c r="AT310" s="145"/>
      <c r="AU310" s="145"/>
      <c r="AV310" s="145"/>
      <c r="AW310" s="145"/>
      <c r="AX310" s="145"/>
      <c r="AY310" s="223"/>
      <c r="BA310" s="145"/>
      <c r="BB310" s="145"/>
      <c r="BC310" s="145"/>
      <c r="BD310" s="145"/>
      <c r="BE310" s="145"/>
      <c r="BV310" s="386"/>
      <c r="BZ310" s="385" t="s">
        <v>260</v>
      </c>
      <c r="CB310" s="385" t="s">
        <v>261</v>
      </c>
      <c r="CE310" s="204"/>
    </row>
    <row r="311" s="385" customFormat="1" customHeight="1" spans="1:83">
      <c r="A311" s="385">
        <v>221</v>
      </c>
      <c r="C311" s="146">
        <v>45539</v>
      </c>
      <c r="D311" s="513" t="s">
        <v>3000</v>
      </c>
      <c r="E311" s="385" t="s">
        <v>3001</v>
      </c>
      <c r="F311" s="513" t="s">
        <v>3002</v>
      </c>
      <c r="G311" s="448" t="s">
        <v>3003</v>
      </c>
      <c r="H311" s="448"/>
      <c r="I311" s="451" t="s">
        <v>3004</v>
      </c>
      <c r="J311" s="385">
        <v>107.58</v>
      </c>
      <c r="K311" s="385">
        <v>107.58</v>
      </c>
      <c r="L311" s="385">
        <v>8617.56</v>
      </c>
      <c r="M311" s="533">
        <v>927077</v>
      </c>
      <c r="N311" s="385">
        <v>8617.55</v>
      </c>
      <c r="O311" s="535">
        <v>850529.36</v>
      </c>
      <c r="P311" s="497" t="s">
        <v>3005</v>
      </c>
      <c r="Q311" s="549">
        <v>45597</v>
      </c>
      <c r="R311" s="145"/>
      <c r="S311" s="393"/>
      <c r="T311" s="393"/>
      <c r="U311" s="393"/>
      <c r="V311" s="145">
        <f>698+260000</f>
        <v>260698</v>
      </c>
      <c r="W311" s="393">
        <v>45536</v>
      </c>
      <c r="X311" s="145">
        <v>95000</v>
      </c>
      <c r="Y311" s="146">
        <v>45547</v>
      </c>
      <c r="Z311" s="145">
        <v>570000</v>
      </c>
      <c r="AA311" s="146">
        <v>45562</v>
      </c>
      <c r="AB311" s="145">
        <v>1379</v>
      </c>
      <c r="AC311" s="393" t="s">
        <v>3006</v>
      </c>
      <c r="AH311" s="145">
        <f t="shared" si="34"/>
        <v>927077</v>
      </c>
      <c r="AK311" s="390">
        <f t="shared" si="37"/>
        <v>0</v>
      </c>
      <c r="AN311" s="536"/>
      <c r="AO311" s="536"/>
      <c r="AP311" s="536"/>
      <c r="AQ311" s="395"/>
      <c r="AR311" s="447">
        <f t="shared" si="35"/>
        <v>0</v>
      </c>
      <c r="AS311" s="145">
        <v>100</v>
      </c>
      <c r="AT311" s="145"/>
      <c r="AU311" s="145"/>
      <c r="AV311" s="145"/>
      <c r="AW311" s="145"/>
      <c r="AX311" s="145"/>
      <c r="AY311" s="223"/>
      <c r="BA311" s="145"/>
      <c r="BB311" s="145"/>
      <c r="BC311" s="145"/>
      <c r="BD311" s="145"/>
      <c r="BE311" s="145"/>
      <c r="BZ311" s="385" t="s">
        <v>260</v>
      </c>
      <c r="CB311" s="385" t="s">
        <v>261</v>
      </c>
      <c r="CE311" s="204"/>
    </row>
    <row r="312" s="386" customFormat="1" customHeight="1" spans="1:83">
      <c r="A312" s="505">
        <v>222</v>
      </c>
      <c r="B312" s="204"/>
      <c r="C312" s="204"/>
      <c r="D312" s="204"/>
      <c r="E312" s="204" t="s">
        <v>3007</v>
      </c>
      <c r="F312" s="479"/>
      <c r="G312" s="550"/>
      <c r="H312" s="490"/>
      <c r="I312" s="528" t="s">
        <v>3008</v>
      </c>
      <c r="J312" s="204">
        <v>108.14</v>
      </c>
      <c r="K312" s="204"/>
      <c r="L312" s="204"/>
      <c r="M312" s="430"/>
      <c r="N312" s="204">
        <v>8618.09</v>
      </c>
      <c r="O312" s="482"/>
      <c r="P312" s="520"/>
      <c r="Q312" s="520"/>
      <c r="R312" s="431"/>
      <c r="S312" s="494"/>
      <c r="T312" s="494" t="s">
        <v>813</v>
      </c>
      <c r="U312" s="494" t="s">
        <v>813</v>
      </c>
      <c r="V312" s="431"/>
      <c r="W312" s="551"/>
      <c r="X312" s="431"/>
      <c r="Y312" s="435"/>
      <c r="Z312" s="431"/>
      <c r="AA312" s="484"/>
      <c r="AB312" s="431"/>
      <c r="AC312" s="484"/>
      <c r="AD312" s="484"/>
      <c r="AE312" s="484"/>
      <c r="AF312" s="484"/>
      <c r="AG312" s="484"/>
      <c r="AH312" s="431">
        <f t="shared" ref="AH312:AH332" si="39">V312+X312+Z312+AB312+AD312+AF312</f>
        <v>0</v>
      </c>
      <c r="AI312" s="204"/>
      <c r="AJ312" s="204"/>
      <c r="AK312" s="432">
        <f t="shared" si="37"/>
        <v>0</v>
      </c>
      <c r="AL312" s="479"/>
      <c r="AM312" s="479"/>
      <c r="AN312" s="519"/>
      <c r="AO312" s="519"/>
      <c r="AP312" s="519"/>
      <c r="AQ312" s="509"/>
      <c r="AR312" s="438">
        <f t="shared" si="35"/>
        <v>0</v>
      </c>
      <c r="AS312" s="510">
        <f>100</f>
        <v>100</v>
      </c>
      <c r="AT312" s="510">
        <v>100</v>
      </c>
      <c r="AU312" s="510"/>
      <c r="AV312" s="510"/>
      <c r="AW312" s="510"/>
      <c r="AX312" s="510"/>
      <c r="AY312" s="531"/>
      <c r="BA312" s="510"/>
      <c r="BB312" s="510"/>
      <c r="BC312" s="510"/>
      <c r="BD312" s="510"/>
      <c r="BE312" s="510"/>
      <c r="CE312" s="204"/>
    </row>
    <row r="313" s="385" customFormat="1" customHeight="1" spans="1:83">
      <c r="A313" s="385">
        <v>223</v>
      </c>
      <c r="B313" s="385"/>
      <c r="C313" s="146">
        <v>45758</v>
      </c>
      <c r="D313" s="385">
        <v>20250001951</v>
      </c>
      <c r="E313" s="385" t="s">
        <v>3009</v>
      </c>
      <c r="F313" s="456" t="s">
        <v>3010</v>
      </c>
      <c r="G313" s="448" t="s">
        <v>3011</v>
      </c>
      <c r="H313" s="448"/>
      <c r="I313" s="451" t="s">
        <v>3012</v>
      </c>
      <c r="J313" s="385">
        <v>107.77</v>
      </c>
      <c r="K313" s="385">
        <v>107.77</v>
      </c>
      <c r="L313" s="385">
        <v>5567.41</v>
      </c>
      <c r="M313" s="389">
        <v>600000</v>
      </c>
      <c r="N313" s="385">
        <v>5567.41</v>
      </c>
      <c r="O313" s="473">
        <v>550458.72</v>
      </c>
      <c r="P313" s="1035" t="s">
        <v>3013</v>
      </c>
      <c r="Q313" s="504">
        <v>45758</v>
      </c>
      <c r="R313" s="145"/>
      <c r="S313" s="393"/>
      <c r="T313" s="393"/>
      <c r="U313" s="393"/>
      <c r="V313" s="145">
        <v>160000</v>
      </c>
      <c r="W313" s="393" t="s">
        <v>3014</v>
      </c>
      <c r="X313" s="145">
        <v>440000</v>
      </c>
      <c r="Y313" s="393" t="s">
        <v>3015</v>
      </c>
      <c r="Z313" s="145"/>
      <c r="AA313" s="385"/>
      <c r="AB313" s="145"/>
      <c r="AC313" s="385"/>
      <c r="AD313" s="385"/>
      <c r="AE313" s="385"/>
      <c r="AF313" s="385"/>
      <c r="AG313" s="385"/>
      <c r="AH313" s="145">
        <f t="shared" si="39"/>
        <v>600000</v>
      </c>
      <c r="AK313" s="390">
        <f t="shared" si="37"/>
        <v>0</v>
      </c>
      <c r="AL313" s="456" t="s">
        <v>3016</v>
      </c>
      <c r="AM313" s="456"/>
      <c r="AN313" s="469"/>
      <c r="AO313" s="469"/>
      <c r="AP313" s="469"/>
      <c r="AQ313" s="395"/>
      <c r="AR313" s="447">
        <f t="shared" si="35"/>
        <v>0</v>
      </c>
      <c r="AS313" s="145"/>
      <c r="AT313" s="145"/>
      <c r="AU313" s="145"/>
      <c r="AV313" s="145"/>
      <c r="AW313" s="145"/>
      <c r="AX313" s="145"/>
      <c r="AY313" s="223"/>
      <c r="BA313" s="145"/>
      <c r="BB313" s="145"/>
      <c r="BC313" s="145"/>
      <c r="BD313" s="145"/>
      <c r="BE313" s="145"/>
      <c r="BZ313" s="385" t="s">
        <v>260</v>
      </c>
      <c r="CB313" s="385" t="s">
        <v>261</v>
      </c>
      <c r="CE313" s="204"/>
    </row>
    <row r="314" s="204" customFormat="1" customHeight="1" spans="1:83">
      <c r="A314" s="204">
        <v>224</v>
      </c>
      <c r="D314" s="478"/>
      <c r="E314" s="204" t="s">
        <v>3017</v>
      </c>
      <c r="F314" s="479"/>
      <c r="G314" s="480"/>
      <c r="H314" s="480"/>
      <c r="I314" s="481" t="s">
        <v>3018</v>
      </c>
      <c r="J314" s="204">
        <v>108.14</v>
      </c>
      <c r="M314" s="492"/>
      <c r="N314" s="204">
        <v>5952.89</v>
      </c>
      <c r="O314" s="482"/>
      <c r="P314" s="483"/>
      <c r="Q314" s="483"/>
      <c r="R314" s="431"/>
      <c r="S314" s="434"/>
      <c r="T314" s="434"/>
      <c r="U314" s="434"/>
      <c r="V314" s="431"/>
      <c r="W314" s="484"/>
      <c r="X314" s="431"/>
      <c r="Y314" s="435"/>
      <c r="Z314" s="431"/>
      <c r="AB314" s="431"/>
      <c r="AH314" s="431">
        <f t="shared" si="39"/>
        <v>0</v>
      </c>
      <c r="AK314" s="432">
        <f t="shared" si="37"/>
        <v>0</v>
      </c>
      <c r="AL314" s="479"/>
      <c r="AM314" s="479"/>
      <c r="AN314" s="485"/>
      <c r="AO314" s="485"/>
      <c r="AP314" s="485"/>
      <c r="AQ314" s="489"/>
      <c r="AR314" s="438">
        <f t="shared" si="35"/>
        <v>0</v>
      </c>
      <c r="AS314" s="431"/>
      <c r="AT314" s="431"/>
      <c r="AU314" s="431"/>
      <c r="AV314" s="431"/>
      <c r="AW314" s="431"/>
      <c r="AX314" s="431"/>
      <c r="AY314" s="242"/>
      <c r="BA314" s="431"/>
      <c r="BB314" s="431"/>
      <c r="BC314" s="431"/>
      <c r="BD314" s="431"/>
      <c r="BE314" s="431"/>
      <c r="BV314" s="386"/>
    </row>
    <row r="315" s="385" customFormat="1" customHeight="1" spans="1:83">
      <c r="A315" s="385">
        <v>225</v>
      </c>
      <c r="C315" s="146">
        <v>45024</v>
      </c>
      <c r="D315" s="524" t="s">
        <v>3019</v>
      </c>
      <c r="F315" s="456" t="s">
        <v>3020</v>
      </c>
      <c r="G315" s="385" t="s">
        <v>3021</v>
      </c>
      <c r="H315" s="1026" t="s">
        <v>3022</v>
      </c>
      <c r="I315" s="451" t="s">
        <v>3023</v>
      </c>
      <c r="J315" s="385">
        <v>107.77</v>
      </c>
      <c r="K315" s="385">
        <v>107.77</v>
      </c>
      <c r="L315" s="385">
        <v>5349.29</v>
      </c>
      <c r="M315" s="464">
        <v>576493</v>
      </c>
      <c r="N315" s="465">
        <v>5299.29</v>
      </c>
      <c r="O315" s="473">
        <v>528892.66</v>
      </c>
      <c r="P315" s="474" t="s">
        <v>3024</v>
      </c>
      <c r="Q315" s="476">
        <v>45562</v>
      </c>
      <c r="R315" s="145"/>
      <c r="S315" s="393"/>
      <c r="T315" s="393" t="s">
        <v>3025</v>
      </c>
      <c r="U315" s="393" t="s">
        <v>3026</v>
      </c>
      <c r="V315" s="145">
        <v>20000</v>
      </c>
      <c r="W315" s="146" t="s">
        <v>2076</v>
      </c>
      <c r="X315" s="145">
        <v>255638</v>
      </c>
      <c r="Y315" s="466" t="s">
        <v>3027</v>
      </c>
      <c r="Z315" s="145">
        <v>300000</v>
      </c>
      <c r="AA315" s="385" t="s">
        <v>2447</v>
      </c>
      <c r="AB315" s="145">
        <v>856</v>
      </c>
      <c r="AC315" s="146">
        <v>45880</v>
      </c>
      <c r="AH315" s="145">
        <f t="shared" si="39"/>
        <v>576494</v>
      </c>
      <c r="AK315" s="390">
        <f t="shared" si="37"/>
        <v>-1</v>
      </c>
      <c r="AL315" s="456" t="s">
        <v>3028</v>
      </c>
      <c r="AM315" s="456"/>
      <c r="AN315" s="467"/>
      <c r="AO315" s="467"/>
      <c r="AP315" s="467"/>
      <c r="AQ315" s="395">
        <f>0.6%+0.05%+0.14%</f>
        <v>0.0079</v>
      </c>
      <c r="AR315" s="447">
        <f t="shared" si="35"/>
        <v>575638</v>
      </c>
      <c r="AS315" s="145"/>
      <c r="AT315" s="145"/>
      <c r="AU315" s="145"/>
      <c r="AV315" s="145"/>
      <c r="AW315" s="145"/>
      <c r="AX315" s="145"/>
      <c r="AY315" s="223">
        <v>575638</v>
      </c>
      <c r="BA315" s="145"/>
      <c r="BB315" s="145"/>
      <c r="BC315" s="145"/>
      <c r="BD315" s="145"/>
      <c r="BE315" s="145"/>
      <c r="BZ315" s="385" t="s">
        <v>260</v>
      </c>
      <c r="CA315" s="385" t="s">
        <v>271</v>
      </c>
      <c r="CB315" s="385" t="s">
        <v>261</v>
      </c>
      <c r="CE315" s="204"/>
    </row>
    <row r="316" s="385" customFormat="1" ht="39" customHeight="1" spans="1:83">
      <c r="A316" s="385">
        <v>224</v>
      </c>
      <c r="C316" s="146">
        <v>45061</v>
      </c>
      <c r="D316" s="524" t="s">
        <v>3029</v>
      </c>
      <c r="F316" s="456" t="s">
        <v>3030</v>
      </c>
      <c r="G316" s="448" t="s">
        <v>3031</v>
      </c>
      <c r="H316" s="1030" t="s">
        <v>3032</v>
      </c>
      <c r="I316" s="441" t="s">
        <v>3033</v>
      </c>
      <c r="J316" s="385">
        <v>108.14</v>
      </c>
      <c r="K316" s="385">
        <v>108.14</v>
      </c>
      <c r="L316" s="385">
        <v>5300</v>
      </c>
      <c r="M316" s="464">
        <v>573142</v>
      </c>
      <c r="N316" s="465">
        <v>5297.69</v>
      </c>
      <c r="O316" s="473">
        <v>525818.35</v>
      </c>
      <c r="P316" s="474" t="s">
        <v>3034</v>
      </c>
      <c r="Q316" s="476">
        <v>45562</v>
      </c>
      <c r="R316" s="145"/>
      <c r="S316" s="393"/>
      <c r="T316" s="393" t="s">
        <v>3031</v>
      </c>
      <c r="U316" s="393" t="s">
        <v>408</v>
      </c>
      <c r="V316" s="145">
        <v>20000</v>
      </c>
      <c r="W316" s="146" t="s">
        <v>1738</v>
      </c>
      <c r="X316" s="145">
        <v>552294</v>
      </c>
      <c r="Y316" s="471" t="s">
        <v>1952</v>
      </c>
      <c r="Z316" s="145">
        <v>848</v>
      </c>
      <c r="AA316" s="393" t="s">
        <v>3035</v>
      </c>
      <c r="AB316" s="145"/>
      <c r="AH316" s="145">
        <f t="shared" si="39"/>
        <v>573142</v>
      </c>
      <c r="AK316" s="390">
        <f t="shared" si="37"/>
        <v>0</v>
      </c>
      <c r="AL316" s="456" t="s">
        <v>3036</v>
      </c>
      <c r="AM316" s="456"/>
      <c r="AN316" s="475"/>
      <c r="AO316" s="475"/>
      <c r="AP316" s="475"/>
      <c r="AQ316" s="395">
        <f>0.6%+0.06%+0.14%</f>
        <v>0.008</v>
      </c>
      <c r="AR316" s="447">
        <f t="shared" si="35"/>
        <v>572294</v>
      </c>
      <c r="AS316" s="145"/>
      <c r="AT316" s="145"/>
      <c r="AU316" s="145"/>
      <c r="AV316" s="145"/>
      <c r="AW316" s="145"/>
      <c r="AX316" s="145"/>
      <c r="AY316" s="223">
        <v>572294</v>
      </c>
      <c r="BA316" s="145"/>
      <c r="BB316" s="145"/>
      <c r="BC316" s="145"/>
      <c r="BD316" s="145"/>
      <c r="BE316" s="145"/>
      <c r="BZ316" s="385" t="s">
        <v>260</v>
      </c>
      <c r="CA316" s="385" t="s">
        <v>271</v>
      </c>
      <c r="CB316" s="385" t="s">
        <v>261</v>
      </c>
      <c r="CE316" s="204"/>
    </row>
    <row r="317" s="385" customFormat="1" customHeight="1" spans="1:83">
      <c r="A317" s="385">
        <v>227</v>
      </c>
      <c r="C317" s="146">
        <v>44986</v>
      </c>
      <c r="D317" s="524" t="s">
        <v>3037</v>
      </c>
      <c r="F317" s="456" t="s">
        <v>3038</v>
      </c>
      <c r="G317" s="385" t="s">
        <v>3039</v>
      </c>
      <c r="H317" s="1026" t="s">
        <v>3040</v>
      </c>
      <c r="I317" s="451" t="s">
        <v>3041</v>
      </c>
      <c r="J317" s="385">
        <v>107.77</v>
      </c>
      <c r="K317" s="385">
        <v>107.77</v>
      </c>
      <c r="L317" s="385">
        <v>5380.3</v>
      </c>
      <c r="M317" s="464">
        <v>579835</v>
      </c>
      <c r="N317" s="465">
        <v>5330.3</v>
      </c>
      <c r="O317" s="473">
        <v>531958.72</v>
      </c>
      <c r="P317" s="474" t="s">
        <v>3042</v>
      </c>
      <c r="Q317" s="476">
        <v>45562</v>
      </c>
      <c r="R317" s="145"/>
      <c r="S317" s="393"/>
      <c r="T317" s="385" t="s">
        <v>3039</v>
      </c>
      <c r="U317" s="385" t="s">
        <v>3043</v>
      </c>
      <c r="V317" s="145">
        <v>3974</v>
      </c>
      <c r="W317" s="146" t="s">
        <v>1760</v>
      </c>
      <c r="X317" s="552">
        <v>215000</v>
      </c>
      <c r="Y317" s="145" t="s">
        <v>2004</v>
      </c>
      <c r="Z317" s="145">
        <v>360000</v>
      </c>
      <c r="AA317" s="393" t="s">
        <v>680</v>
      </c>
      <c r="AB317" s="145"/>
      <c r="AH317" s="145">
        <f t="shared" si="39"/>
        <v>578974</v>
      </c>
      <c r="AK317" s="390">
        <f t="shared" si="37"/>
        <v>861</v>
      </c>
      <c r="AL317" s="456" t="s">
        <v>3044</v>
      </c>
      <c r="AM317" s="456"/>
      <c r="AN317" s="467"/>
      <c r="AO317" s="467"/>
      <c r="AP317" s="467"/>
      <c r="AQ317" s="395">
        <f>0.4%+0.05%+0.14%+0.06%</f>
        <v>0.0065</v>
      </c>
      <c r="AR317" s="447">
        <f t="shared" si="35"/>
        <v>578974</v>
      </c>
      <c r="AS317" s="145"/>
      <c r="AT317" s="145">
        <v>100</v>
      </c>
      <c r="AU317" s="145"/>
      <c r="AV317" s="145"/>
      <c r="AW317" s="145"/>
      <c r="AX317" s="145"/>
      <c r="AY317" s="223"/>
      <c r="BA317" s="145"/>
      <c r="BB317" s="145">
        <v>218974</v>
      </c>
      <c r="BC317" s="145"/>
      <c r="BD317" s="145">
        <v>360000</v>
      </c>
      <c r="BE317" s="145"/>
      <c r="BZ317" s="385" t="s">
        <v>260</v>
      </c>
      <c r="CA317" s="385" t="s">
        <v>271</v>
      </c>
      <c r="CB317" s="385" t="s">
        <v>261</v>
      </c>
      <c r="CE317" s="204"/>
    </row>
    <row r="318" s="385" customFormat="1" customHeight="1" spans="1:83">
      <c r="A318" s="385">
        <v>228</v>
      </c>
      <c r="C318" s="146">
        <v>45039</v>
      </c>
      <c r="D318" s="524" t="s">
        <v>3045</v>
      </c>
      <c r="F318" s="456" t="s">
        <v>3046</v>
      </c>
      <c r="G318" s="385" t="s">
        <v>3047</v>
      </c>
      <c r="H318" s="1026" t="s">
        <v>3048</v>
      </c>
      <c r="I318" s="441" t="s">
        <v>3049</v>
      </c>
      <c r="J318" s="385">
        <v>108.14</v>
      </c>
      <c r="K318" s="385">
        <v>108.14</v>
      </c>
      <c r="L318" s="385">
        <v>5350</v>
      </c>
      <c r="M318" s="464">
        <v>578549</v>
      </c>
      <c r="N318" s="465">
        <v>5328.69</v>
      </c>
      <c r="O318" s="473">
        <v>530778.9</v>
      </c>
      <c r="P318" s="474" t="s">
        <v>3050</v>
      </c>
      <c r="Q318" s="476">
        <v>45562</v>
      </c>
      <c r="R318" s="145">
        <v>856</v>
      </c>
      <c r="S318" s="393">
        <v>46082</v>
      </c>
      <c r="T318" s="393"/>
      <c r="U318" s="393" t="s">
        <v>267</v>
      </c>
      <c r="V318" s="145">
        <v>20000</v>
      </c>
      <c r="W318" s="393" t="s">
        <v>1908</v>
      </c>
      <c r="X318" s="145">
        <v>36693</v>
      </c>
      <c r="Y318" s="466" t="s">
        <v>1409</v>
      </c>
      <c r="Z318" s="145">
        <v>59000</v>
      </c>
      <c r="AA318" s="385" t="s">
        <v>2346</v>
      </c>
      <c r="AB318" s="145">
        <v>462000</v>
      </c>
      <c r="AC318" s="393" t="s">
        <v>512</v>
      </c>
      <c r="AD318" s="145">
        <v>856</v>
      </c>
      <c r="AE318" s="393">
        <v>46082</v>
      </c>
      <c r="AH318" s="145">
        <f t="shared" si="39"/>
        <v>578549</v>
      </c>
      <c r="AK318" s="390">
        <f t="shared" si="37"/>
        <v>0</v>
      </c>
      <c r="AL318" s="456" t="s">
        <v>3051</v>
      </c>
      <c r="AM318" s="456"/>
      <c r="AN318" s="467"/>
      <c r="AO318" s="467"/>
      <c r="AP318" s="467"/>
      <c r="AQ318" s="395">
        <f>0.6%+0.1%</f>
        <v>0.007</v>
      </c>
      <c r="AR318" s="447">
        <f t="shared" si="35"/>
        <v>577693</v>
      </c>
      <c r="AS318" s="145"/>
      <c r="AT318" s="145"/>
      <c r="AU318" s="145"/>
      <c r="AV318" s="145"/>
      <c r="AW318" s="145"/>
      <c r="AX318" s="145"/>
      <c r="AY318" s="223">
        <v>115693</v>
      </c>
      <c r="BA318" s="145">
        <v>462000</v>
      </c>
      <c r="BB318" s="145"/>
      <c r="BC318" s="145"/>
      <c r="BD318" s="145"/>
      <c r="BE318" s="145"/>
      <c r="BZ318" s="385" t="s">
        <v>260</v>
      </c>
      <c r="CA318" s="385" t="s">
        <v>271</v>
      </c>
      <c r="CB318" s="385" t="s">
        <v>261</v>
      </c>
      <c r="CE318" s="204"/>
    </row>
    <row r="319" s="385" customFormat="1" customHeight="1" spans="1:83">
      <c r="A319" s="385">
        <v>229</v>
      </c>
      <c r="C319" s="146">
        <v>44964</v>
      </c>
      <c r="D319" s="524" t="s">
        <v>3052</v>
      </c>
      <c r="F319" s="456" t="s">
        <v>3053</v>
      </c>
      <c r="G319" s="142" t="s">
        <v>3054</v>
      </c>
      <c r="H319" s="1031" t="s">
        <v>3055</v>
      </c>
      <c r="I319" s="451" t="s">
        <v>3056</v>
      </c>
      <c r="J319" s="385">
        <v>107.77</v>
      </c>
      <c r="K319" s="385">
        <v>107.77</v>
      </c>
      <c r="L319" s="385">
        <v>5231.88</v>
      </c>
      <c r="M319" s="464">
        <v>563840</v>
      </c>
      <c r="N319" s="465"/>
      <c r="O319" s="473">
        <v>517284.4</v>
      </c>
      <c r="P319" s="474" t="s">
        <v>3057</v>
      </c>
      <c r="Q319" s="476">
        <v>45562</v>
      </c>
      <c r="R319" s="145"/>
      <c r="S319" s="445"/>
      <c r="T319" s="453" t="s">
        <v>3058</v>
      </c>
      <c r="U319" s="445" t="s">
        <v>3059</v>
      </c>
      <c r="V319" s="145">
        <v>173003</v>
      </c>
      <c r="W319" s="385" t="s">
        <v>1324</v>
      </c>
      <c r="X319" s="145">
        <v>390000</v>
      </c>
      <c r="Y319" s="466" t="s">
        <v>2362</v>
      </c>
      <c r="Z319" s="145">
        <v>838</v>
      </c>
      <c r="AA319" s="445" t="s">
        <v>409</v>
      </c>
      <c r="AB319" s="145"/>
      <c r="AH319" s="145">
        <f t="shared" si="39"/>
        <v>563841</v>
      </c>
      <c r="AK319" s="390">
        <f t="shared" si="37"/>
        <v>-1</v>
      </c>
      <c r="AL319" s="456" t="s">
        <v>3060</v>
      </c>
      <c r="AM319" s="456"/>
      <c r="AN319" s="467"/>
      <c r="AO319" s="467"/>
      <c r="AP319" s="467"/>
      <c r="AQ319" s="395">
        <f>0.4%+0.04%+0.1%</f>
        <v>0.0054</v>
      </c>
      <c r="AR319" s="447">
        <f t="shared" si="35"/>
        <v>563003</v>
      </c>
      <c r="AS319" s="145">
        <f>100+100</f>
        <v>200</v>
      </c>
      <c r="AT319" s="145"/>
      <c r="AU319" s="145"/>
      <c r="AV319" s="145">
        <v>173003</v>
      </c>
      <c r="AW319" s="145"/>
      <c r="AX319" s="145"/>
      <c r="AY319" s="223">
        <v>390000</v>
      </c>
      <c r="BA319" s="145"/>
      <c r="BB319" s="145"/>
      <c r="BC319" s="145"/>
      <c r="BD319" s="145"/>
      <c r="BE319" s="145"/>
      <c r="BZ319" s="385" t="s">
        <v>260</v>
      </c>
      <c r="CA319" s="385" t="s">
        <v>271</v>
      </c>
      <c r="CB319" s="385" t="s">
        <v>261</v>
      </c>
      <c r="CE319" s="204"/>
    </row>
    <row r="320" s="385" customFormat="1" customHeight="1" spans="1:83">
      <c r="A320" s="385">
        <v>230</v>
      </c>
      <c r="C320" s="146">
        <v>44934</v>
      </c>
      <c r="D320" s="524" t="s">
        <v>3061</v>
      </c>
      <c r="F320" s="456" t="s">
        <v>3062</v>
      </c>
      <c r="G320" s="142" t="s">
        <v>3063</v>
      </c>
      <c r="H320" s="1031" t="s">
        <v>3064</v>
      </c>
      <c r="I320" s="441" t="s">
        <v>3065</v>
      </c>
      <c r="J320" s="385">
        <v>108.14</v>
      </c>
      <c r="K320" s="385">
        <v>108.14</v>
      </c>
      <c r="L320" s="385">
        <v>5230.38</v>
      </c>
      <c r="M320" s="464">
        <v>565614</v>
      </c>
      <c r="N320" s="465"/>
      <c r="O320" s="473">
        <v>518911.93</v>
      </c>
      <c r="P320" s="474" t="s">
        <v>3066</v>
      </c>
      <c r="Q320" s="476">
        <v>45562</v>
      </c>
      <c r="R320" s="145"/>
      <c r="S320" s="393"/>
      <c r="T320" s="394" t="s">
        <v>3067</v>
      </c>
      <c r="U320" s="445" t="s">
        <v>3068</v>
      </c>
      <c r="V320" s="145">
        <v>2000</v>
      </c>
      <c r="W320" s="146">
        <v>44757</v>
      </c>
      <c r="X320" s="145">
        <v>18000</v>
      </c>
      <c r="Y320" s="466" t="s">
        <v>1280</v>
      </c>
      <c r="Z320" s="145">
        <f>44777+500000</f>
        <v>544777</v>
      </c>
      <c r="AA320" s="385" t="s">
        <v>3069</v>
      </c>
      <c r="AB320" s="145">
        <v>837</v>
      </c>
      <c r="AC320" s="393" t="s">
        <v>430</v>
      </c>
      <c r="AH320" s="145">
        <f t="shared" si="39"/>
        <v>565614</v>
      </c>
      <c r="AK320" s="390">
        <f t="shared" si="37"/>
        <v>0</v>
      </c>
      <c r="AL320" s="456" t="s">
        <v>3070</v>
      </c>
      <c r="AM320" s="456"/>
      <c r="AN320" s="467"/>
      <c r="AO320" s="467"/>
      <c r="AP320" s="467"/>
      <c r="AQ320" s="395">
        <f>0.4%+0.1%</f>
        <v>0.005</v>
      </c>
      <c r="AR320" s="447">
        <f t="shared" si="35"/>
        <v>564777</v>
      </c>
      <c r="AS320" s="145">
        <f>100</f>
        <v>100</v>
      </c>
      <c r="AT320" s="145"/>
      <c r="AU320" s="145">
        <v>564777</v>
      </c>
      <c r="AV320" s="145"/>
      <c r="AW320" s="145"/>
      <c r="AX320" s="145"/>
      <c r="AY320" s="223"/>
      <c r="BA320" s="145"/>
      <c r="BB320" s="145"/>
      <c r="BC320" s="145"/>
      <c r="BD320" s="145"/>
      <c r="BE320" s="145"/>
      <c r="BZ320" s="385" t="s">
        <v>260</v>
      </c>
      <c r="CA320" s="385" t="s">
        <v>271</v>
      </c>
      <c r="CB320" s="385" t="s">
        <v>261</v>
      </c>
      <c r="CE320" s="204"/>
    </row>
    <row r="321" s="385" customFormat="1" customHeight="1" spans="1:83">
      <c r="A321" s="385">
        <v>231</v>
      </c>
      <c r="C321" s="146">
        <v>45000</v>
      </c>
      <c r="D321" s="524" t="s">
        <v>3071</v>
      </c>
      <c r="F321" s="456" t="s">
        <v>3072</v>
      </c>
      <c r="G321" s="385" t="s">
        <v>3073</v>
      </c>
      <c r="H321" s="1026" t="s">
        <v>3074</v>
      </c>
      <c r="I321" s="441" t="s">
        <v>3075</v>
      </c>
      <c r="J321" s="385">
        <v>107.77</v>
      </c>
      <c r="K321" s="385">
        <v>107.77</v>
      </c>
      <c r="L321" s="385">
        <v>5276.88</v>
      </c>
      <c r="M321" s="464">
        <v>568689</v>
      </c>
      <c r="N321" s="465"/>
      <c r="O321" s="473">
        <v>521733.03</v>
      </c>
      <c r="P321" s="474" t="s">
        <v>3076</v>
      </c>
      <c r="Q321" s="476">
        <v>45562</v>
      </c>
      <c r="R321" s="145"/>
      <c r="S321" s="393"/>
      <c r="T321" s="453" t="s">
        <v>3077</v>
      </c>
      <c r="U321" s="445" t="s">
        <v>3078</v>
      </c>
      <c r="V321" s="145">
        <f>2000</f>
        <v>2000</v>
      </c>
      <c r="W321" s="440">
        <v>44768</v>
      </c>
      <c r="X321" s="145">
        <v>18000</v>
      </c>
      <c r="Y321" s="466" t="s">
        <v>1280</v>
      </c>
      <c r="Z321" s="145">
        <v>77845</v>
      </c>
      <c r="AA321" s="385">
        <v>2023.3</v>
      </c>
      <c r="AB321" s="145">
        <v>80000</v>
      </c>
      <c r="AC321" s="385" t="s">
        <v>1969</v>
      </c>
      <c r="AD321" s="145">
        <v>390000</v>
      </c>
      <c r="AE321" s="393" t="s">
        <v>1935</v>
      </c>
      <c r="AF321" s="145">
        <v>845</v>
      </c>
      <c r="AG321" s="393" t="s">
        <v>2676</v>
      </c>
      <c r="AH321" s="145">
        <f t="shared" si="39"/>
        <v>568690</v>
      </c>
      <c r="AK321" s="390">
        <f t="shared" si="37"/>
        <v>-1</v>
      </c>
      <c r="AL321" s="456" t="s">
        <v>3079</v>
      </c>
      <c r="AM321" s="456"/>
      <c r="AN321" s="467"/>
      <c r="AO321" s="467"/>
      <c r="AP321" s="467"/>
      <c r="AQ321" s="395">
        <f>0.4%+0.04%+0.1%+0.04%</f>
        <v>0.0058</v>
      </c>
      <c r="AR321" s="447">
        <f t="shared" si="35"/>
        <v>567845</v>
      </c>
      <c r="AS321" s="145"/>
      <c r="AT321" s="145">
        <v>100</v>
      </c>
      <c r="AU321" s="145"/>
      <c r="AV321" s="145"/>
      <c r="AW321" s="145">
        <v>177845</v>
      </c>
      <c r="AX321" s="145"/>
      <c r="AY321" s="223"/>
      <c r="BA321" s="145"/>
      <c r="BB321" s="145">
        <v>390000</v>
      </c>
      <c r="BC321" s="145"/>
      <c r="BD321" s="145"/>
      <c r="BE321" s="145"/>
      <c r="BZ321" s="385" t="s">
        <v>260</v>
      </c>
      <c r="CA321" s="385" t="s">
        <v>271</v>
      </c>
      <c r="CB321" s="385" t="s">
        <v>261</v>
      </c>
      <c r="CE321" s="204"/>
    </row>
    <row r="322" s="385" customFormat="1" customHeight="1" spans="1:83">
      <c r="A322" s="385">
        <v>232</v>
      </c>
      <c r="C322" s="146">
        <v>44966</v>
      </c>
      <c r="D322" s="524" t="s">
        <v>3080</v>
      </c>
      <c r="F322" s="456" t="s">
        <v>3081</v>
      </c>
      <c r="G322" s="385" t="s">
        <v>3082</v>
      </c>
      <c r="H322" s="1031" t="s">
        <v>623</v>
      </c>
      <c r="I322" s="441" t="s">
        <v>3083</v>
      </c>
      <c r="J322" s="385">
        <v>108.14</v>
      </c>
      <c r="K322" s="385">
        <v>108.14</v>
      </c>
      <c r="L322" s="385">
        <v>5275.38</v>
      </c>
      <c r="M322" s="464">
        <v>570480</v>
      </c>
      <c r="N322" s="465"/>
      <c r="O322" s="473">
        <v>523376.15</v>
      </c>
      <c r="P322" s="474" t="s">
        <v>3084</v>
      </c>
      <c r="Q322" s="476">
        <v>45562</v>
      </c>
      <c r="R322" s="145"/>
      <c r="S322" s="393"/>
      <c r="T322" s="394" t="s">
        <v>3085</v>
      </c>
      <c r="U322" s="393" t="s">
        <v>3086</v>
      </c>
      <c r="V322" s="145">
        <v>289636</v>
      </c>
      <c r="W322" s="385" t="s">
        <v>1259</v>
      </c>
      <c r="X322" s="145">
        <v>280000</v>
      </c>
      <c r="Y322" s="385" t="s">
        <v>1266</v>
      </c>
      <c r="Z322" s="145">
        <v>845</v>
      </c>
      <c r="AA322" s="393" t="s">
        <v>3087</v>
      </c>
      <c r="AB322" s="145"/>
      <c r="AH322" s="145">
        <f t="shared" si="39"/>
        <v>570481</v>
      </c>
      <c r="AK322" s="390">
        <f t="shared" si="37"/>
        <v>-1</v>
      </c>
      <c r="AL322" s="456" t="s">
        <v>3088</v>
      </c>
      <c r="AM322" s="456"/>
      <c r="AN322" s="467"/>
      <c r="AO322" s="467"/>
      <c r="AP322" s="467"/>
      <c r="AQ322" s="395">
        <f>0.4%+0.1%</f>
        <v>0.005</v>
      </c>
      <c r="AR322" s="447">
        <f t="shared" si="35"/>
        <v>569636</v>
      </c>
      <c r="AS322" s="145">
        <v>100</v>
      </c>
      <c r="AT322" s="145"/>
      <c r="AU322" s="145"/>
      <c r="AV322" s="145">
        <v>569636</v>
      </c>
      <c r="AW322" s="145"/>
      <c r="AX322" s="145"/>
      <c r="AY322" s="223"/>
      <c r="BA322" s="145"/>
      <c r="BB322" s="145"/>
      <c r="BC322" s="145"/>
      <c r="BD322" s="145"/>
      <c r="BE322" s="145"/>
      <c r="BZ322" s="385" t="s">
        <v>260</v>
      </c>
      <c r="CA322" s="385" t="s">
        <v>271</v>
      </c>
      <c r="CB322" s="385" t="s">
        <v>261</v>
      </c>
      <c r="CE322" s="204"/>
    </row>
    <row r="323" s="385" customFormat="1" customHeight="1" spans="1:83">
      <c r="A323" s="385">
        <v>233</v>
      </c>
      <c r="C323" s="146">
        <v>44965</v>
      </c>
      <c r="D323" s="524" t="s">
        <v>3089</v>
      </c>
      <c r="F323" s="456" t="s">
        <v>3090</v>
      </c>
      <c r="G323" s="385" t="s">
        <v>3091</v>
      </c>
      <c r="H323" s="1026" t="s">
        <v>3092</v>
      </c>
      <c r="I323" s="441" t="s">
        <v>3093</v>
      </c>
      <c r="J323" s="385">
        <v>107.77</v>
      </c>
      <c r="K323" s="385">
        <v>107.77</v>
      </c>
      <c r="L323" s="385">
        <v>5321.88</v>
      </c>
      <c r="M323" s="464">
        <v>573539</v>
      </c>
      <c r="N323" s="465"/>
      <c r="O323" s="473">
        <v>526182.57</v>
      </c>
      <c r="P323" s="474" t="s">
        <v>3094</v>
      </c>
      <c r="Q323" s="476">
        <v>45562</v>
      </c>
      <c r="R323" s="145"/>
      <c r="S323" s="393"/>
      <c r="T323" s="394" t="s">
        <v>3095</v>
      </c>
      <c r="U323" s="393" t="s">
        <v>3096</v>
      </c>
      <c r="V323" s="145">
        <v>2000</v>
      </c>
      <c r="W323" s="146" t="s">
        <v>3097</v>
      </c>
      <c r="X323" s="145">
        <v>18000</v>
      </c>
      <c r="Y323" s="466" t="s">
        <v>1280</v>
      </c>
      <c r="Z323" s="145">
        <f>40000+173688</f>
        <v>213688</v>
      </c>
      <c r="AA323" s="385" t="s">
        <v>1363</v>
      </c>
      <c r="AB323" s="145">
        <v>40000</v>
      </c>
      <c r="AC323" s="385" t="s">
        <v>1000</v>
      </c>
      <c r="AD323" s="385">
        <v>299000</v>
      </c>
      <c r="AE323" s="385" t="s">
        <v>2218</v>
      </c>
      <c r="AH323" s="145">
        <f t="shared" si="39"/>
        <v>572688</v>
      </c>
      <c r="AK323" s="390">
        <f t="shared" si="37"/>
        <v>851</v>
      </c>
      <c r="AL323" s="456" t="s">
        <v>3098</v>
      </c>
      <c r="AM323" s="456"/>
      <c r="AN323" s="467"/>
      <c r="AO323" s="467"/>
      <c r="AP323" s="467"/>
      <c r="AQ323" s="395">
        <f>0.6%+0.04%+0.1%</f>
        <v>0.0074</v>
      </c>
      <c r="AR323" s="447">
        <f t="shared" si="35"/>
        <v>572688</v>
      </c>
      <c r="AS323" s="145"/>
      <c r="AT323" s="145"/>
      <c r="AU323" s="145"/>
      <c r="AV323" s="145"/>
      <c r="AW323" s="145">
        <v>273688</v>
      </c>
      <c r="AX323" s="145"/>
      <c r="AY323" s="223">
        <v>299000</v>
      </c>
      <c r="BA323" s="145"/>
      <c r="BB323" s="145"/>
      <c r="BC323" s="145"/>
      <c r="BD323" s="145"/>
      <c r="BE323" s="145"/>
      <c r="BZ323" s="385" t="s">
        <v>260</v>
      </c>
      <c r="CA323" s="385" t="s">
        <v>271</v>
      </c>
      <c r="CB323" s="385" t="s">
        <v>261</v>
      </c>
      <c r="CE323" s="204"/>
    </row>
    <row r="324" s="385" customFormat="1" ht="14.25" spans="1:83">
      <c r="A324" s="385">
        <v>234</v>
      </c>
      <c r="C324" s="146">
        <v>44966</v>
      </c>
      <c r="D324" s="524" t="s">
        <v>3099</v>
      </c>
      <c r="F324" s="456" t="s">
        <v>853</v>
      </c>
      <c r="G324" s="142" t="s">
        <v>854</v>
      </c>
      <c r="H324" s="1031" t="s">
        <v>3100</v>
      </c>
      <c r="I324" s="441" t="s">
        <v>3101</v>
      </c>
      <c r="J324" s="385">
        <v>108.14</v>
      </c>
      <c r="K324" s="385">
        <v>108.14</v>
      </c>
      <c r="L324" s="385">
        <v>5320.38</v>
      </c>
      <c r="M324" s="464">
        <v>575346</v>
      </c>
      <c r="N324" s="465"/>
      <c r="O324" s="473">
        <v>527840.37</v>
      </c>
      <c r="P324" s="474" t="s">
        <v>3102</v>
      </c>
      <c r="Q324" s="476">
        <v>45562</v>
      </c>
      <c r="R324" s="145"/>
      <c r="S324" s="445"/>
      <c r="T324" s="453" t="s">
        <v>3103</v>
      </c>
      <c r="U324" s="445" t="s">
        <v>3104</v>
      </c>
      <c r="V324" s="145">
        <v>174495</v>
      </c>
      <c r="W324" s="385" t="s">
        <v>1259</v>
      </c>
      <c r="X324" s="145">
        <v>400000</v>
      </c>
      <c r="Y324" s="466" t="s">
        <v>1760</v>
      </c>
      <c r="Z324" s="145">
        <v>852</v>
      </c>
      <c r="AA324" s="445" t="s">
        <v>3105</v>
      </c>
      <c r="AB324" s="145"/>
      <c r="AH324" s="145">
        <f t="shared" si="39"/>
        <v>575347</v>
      </c>
      <c r="AK324" s="390">
        <f t="shared" si="37"/>
        <v>-1</v>
      </c>
      <c r="AL324" s="456" t="s">
        <v>3106</v>
      </c>
      <c r="AM324" s="456"/>
      <c r="AN324" s="467"/>
      <c r="AO324" s="467"/>
      <c r="AP324" s="467"/>
      <c r="AQ324" s="395">
        <f>0.4%+0.04%+0.1%</f>
        <v>0.0054</v>
      </c>
      <c r="AR324" s="447">
        <f t="shared" si="35"/>
        <v>574495</v>
      </c>
      <c r="AS324" s="145">
        <f>100</f>
        <v>100</v>
      </c>
      <c r="AT324" s="145">
        <f>100+100</f>
        <v>200</v>
      </c>
      <c r="AU324" s="145"/>
      <c r="AV324" s="145">
        <v>574495</v>
      </c>
      <c r="AW324" s="145"/>
      <c r="AX324" s="145"/>
      <c r="AY324" s="223"/>
      <c r="BA324" s="145"/>
      <c r="BB324" s="145"/>
      <c r="BC324" s="145"/>
      <c r="BD324" s="145"/>
      <c r="BE324" s="145"/>
      <c r="BZ324" s="385" t="s">
        <v>260</v>
      </c>
      <c r="CA324" s="385" t="s">
        <v>271</v>
      </c>
      <c r="CB324" s="385" t="s">
        <v>261</v>
      </c>
      <c r="CE324" s="204"/>
    </row>
    <row r="325" s="385" customFormat="1" ht="14.25" spans="1:83">
      <c r="A325" s="385">
        <v>235</v>
      </c>
      <c r="C325" s="146">
        <v>45072</v>
      </c>
      <c r="D325" s="524" t="s">
        <v>3107</v>
      </c>
      <c r="F325" s="456" t="s">
        <v>3108</v>
      </c>
      <c r="G325" s="385" t="s">
        <v>3109</v>
      </c>
      <c r="H325" s="1026" t="s">
        <v>3110</v>
      </c>
      <c r="I325" s="451" t="s">
        <v>3111</v>
      </c>
      <c r="J325" s="385">
        <v>107.77</v>
      </c>
      <c r="K325" s="385">
        <v>107.77</v>
      </c>
      <c r="L325" s="385">
        <v>5631.64</v>
      </c>
      <c r="M325" s="464">
        <v>606922</v>
      </c>
      <c r="N325" s="465">
        <v>5581.64</v>
      </c>
      <c r="O325" s="473">
        <v>556809.17</v>
      </c>
      <c r="P325" s="474" t="s">
        <v>3112</v>
      </c>
      <c r="Q325" s="476">
        <v>45562</v>
      </c>
      <c r="R325" s="145"/>
      <c r="S325" s="393"/>
      <c r="T325" s="393" t="s">
        <v>3109</v>
      </c>
      <c r="U325" s="393" t="s">
        <v>3113</v>
      </c>
      <c r="V325" s="145">
        <v>20000</v>
      </c>
      <c r="W325" s="146" t="s">
        <v>2076</v>
      </c>
      <c r="X325" s="145">
        <v>166021</v>
      </c>
      <c r="Y325" s="466" t="s">
        <v>946</v>
      </c>
      <c r="Z325" s="145">
        <v>160000</v>
      </c>
      <c r="AA325" s="385" t="s">
        <v>2218</v>
      </c>
      <c r="AB325" s="145">
        <v>260000</v>
      </c>
      <c r="AC325" s="385" t="s">
        <v>1509</v>
      </c>
      <c r="AD325" s="145">
        <v>902</v>
      </c>
      <c r="AE325" s="393">
        <v>45880</v>
      </c>
      <c r="AH325" s="145">
        <f t="shared" si="39"/>
        <v>606923</v>
      </c>
      <c r="AK325" s="390">
        <f t="shared" si="37"/>
        <v>-1</v>
      </c>
      <c r="AL325" s="456" t="s">
        <v>3114</v>
      </c>
      <c r="AM325" s="456"/>
      <c r="AN325" s="467"/>
      <c r="AO325" s="467"/>
      <c r="AP325" s="467"/>
      <c r="AQ325" s="395">
        <f>0.6%+0.05%+0.14%</f>
        <v>0.0079</v>
      </c>
      <c r="AR325" s="447">
        <f t="shared" si="35"/>
        <v>606021</v>
      </c>
      <c r="AS325" s="145"/>
      <c r="AT325" s="145"/>
      <c r="AU325" s="145"/>
      <c r="AV325" s="145"/>
      <c r="AW325" s="145"/>
      <c r="AX325" s="145"/>
      <c r="AY325" s="223">
        <v>606021</v>
      </c>
      <c r="BA325" s="145"/>
      <c r="BB325" s="145"/>
      <c r="BC325" s="145"/>
      <c r="BD325" s="145"/>
      <c r="BE325" s="145"/>
      <c r="BZ325" s="385" t="s">
        <v>260</v>
      </c>
      <c r="CA325" s="385" t="s">
        <v>271</v>
      </c>
      <c r="CB325" s="385" t="s">
        <v>261</v>
      </c>
      <c r="CE325" s="204"/>
    </row>
    <row r="326" s="385" customFormat="1" ht="14.25" spans="1:83">
      <c r="A326" s="385">
        <v>236</v>
      </c>
      <c r="C326" s="146">
        <v>44967</v>
      </c>
      <c r="D326" s="524" t="s">
        <v>3115</v>
      </c>
      <c r="F326" s="456" t="s">
        <v>3116</v>
      </c>
      <c r="G326" s="385" t="s">
        <v>3117</v>
      </c>
      <c r="H326" s="1026" t="s">
        <v>3118</v>
      </c>
      <c r="I326" s="441" t="s">
        <v>3119</v>
      </c>
      <c r="J326" s="385">
        <v>108.14</v>
      </c>
      <c r="K326" s="385">
        <v>108.14</v>
      </c>
      <c r="L326" s="385">
        <v>5345.38</v>
      </c>
      <c r="M326" s="464">
        <v>578049</v>
      </c>
      <c r="N326" s="465"/>
      <c r="O326" s="473">
        <v>530320.18</v>
      </c>
      <c r="P326" s="474" t="s">
        <v>3120</v>
      </c>
      <c r="Q326" s="476">
        <v>45564</v>
      </c>
      <c r="R326" s="145"/>
      <c r="S326" s="393"/>
      <c r="T326" s="394" t="s">
        <v>3121</v>
      </c>
      <c r="U326" s="393" t="s">
        <v>3122</v>
      </c>
      <c r="V326" s="145">
        <v>177194</v>
      </c>
      <c r="W326" s="385" t="s">
        <v>1228</v>
      </c>
      <c r="X326" s="145">
        <v>400000</v>
      </c>
      <c r="Y326" s="385" t="s">
        <v>1266</v>
      </c>
      <c r="Z326" s="145">
        <v>856</v>
      </c>
      <c r="AA326" s="393" t="s">
        <v>3123</v>
      </c>
      <c r="AB326" s="145"/>
      <c r="AH326" s="145">
        <f t="shared" si="39"/>
        <v>578050</v>
      </c>
      <c r="AK326" s="390">
        <f t="shared" si="37"/>
        <v>-1</v>
      </c>
      <c r="AL326" s="456" t="s">
        <v>3124</v>
      </c>
      <c r="AM326" s="456"/>
      <c r="AN326" s="467"/>
      <c r="AO326" s="467"/>
      <c r="AP326" s="467"/>
      <c r="AQ326" s="395">
        <f>0.6%+0.1%</f>
        <v>0.007</v>
      </c>
      <c r="AR326" s="447">
        <f t="shared" ref="AR326:AR332" si="40">SUM(AU326:BU326)</f>
        <v>577194</v>
      </c>
      <c r="AS326" s="145"/>
      <c r="AT326" s="145"/>
      <c r="AU326" s="145"/>
      <c r="AV326" s="145">
        <v>577194</v>
      </c>
      <c r="AW326" s="145"/>
      <c r="AX326" s="145"/>
      <c r="AY326" s="223"/>
      <c r="BA326" s="145"/>
      <c r="BB326" s="145"/>
      <c r="BC326" s="145"/>
      <c r="BD326" s="145"/>
      <c r="BE326" s="145"/>
      <c r="BZ326" s="385" t="s">
        <v>260</v>
      </c>
      <c r="CA326" s="385" t="s">
        <v>271</v>
      </c>
      <c r="CB326" s="385" t="s">
        <v>261</v>
      </c>
      <c r="CE326" s="204"/>
    </row>
    <row r="327" s="385" customFormat="1" ht="14.25" spans="1:83">
      <c r="A327" s="385">
        <v>237</v>
      </c>
      <c r="C327" s="146">
        <v>45011</v>
      </c>
      <c r="D327" s="524" t="s">
        <v>3125</v>
      </c>
      <c r="F327" s="456" t="s">
        <v>3126</v>
      </c>
      <c r="G327" s="385" t="s">
        <v>2649</v>
      </c>
      <c r="H327" s="1026" t="s">
        <v>3127</v>
      </c>
      <c r="I327" s="451" t="s">
        <v>3128</v>
      </c>
      <c r="J327" s="385">
        <v>107.77</v>
      </c>
      <c r="K327" s="385">
        <v>107.77</v>
      </c>
      <c r="L327" s="385">
        <v>5668.618</v>
      </c>
      <c r="M327" s="464">
        <v>610907</v>
      </c>
      <c r="N327" s="465">
        <v>5028.14</v>
      </c>
      <c r="O327" s="473">
        <v>560465.14</v>
      </c>
      <c r="P327" s="474" t="s">
        <v>3129</v>
      </c>
      <c r="Q327" s="476">
        <v>45564</v>
      </c>
      <c r="R327" s="145"/>
      <c r="S327" s="393"/>
      <c r="T327" s="385" t="s">
        <v>2649</v>
      </c>
      <c r="U327" s="393" t="s">
        <v>294</v>
      </c>
      <c r="V327" s="145">
        <v>20000</v>
      </c>
      <c r="W327" s="146" t="s">
        <v>2924</v>
      </c>
      <c r="X327" s="145">
        <v>102000</v>
      </c>
      <c r="Y327" s="466" t="s">
        <v>1596</v>
      </c>
      <c r="Z327" s="145">
        <v>488000</v>
      </c>
      <c r="AA327" s="393" t="s">
        <v>3130</v>
      </c>
      <c r="AB327" s="145">
        <v>907</v>
      </c>
      <c r="AC327" s="393" t="s">
        <v>3131</v>
      </c>
      <c r="AH327" s="145">
        <f t="shared" si="39"/>
        <v>610907</v>
      </c>
      <c r="AK327" s="390">
        <f t="shared" si="37"/>
        <v>0</v>
      </c>
      <c r="AL327" s="456" t="s">
        <v>3132</v>
      </c>
      <c r="AM327" s="456"/>
      <c r="AN327" s="467"/>
      <c r="AO327" s="467"/>
      <c r="AP327" s="467"/>
      <c r="AQ327" s="395">
        <f>0.6%+0.05%+0.14%+0.06%</f>
        <v>0.0085</v>
      </c>
      <c r="AR327" s="447">
        <f t="shared" si="40"/>
        <v>610000</v>
      </c>
      <c r="AS327" s="145"/>
      <c r="AT327" s="145"/>
      <c r="AU327" s="145"/>
      <c r="AV327" s="145"/>
      <c r="AW327" s="145">
        <v>122000</v>
      </c>
      <c r="AX327" s="145"/>
      <c r="AY327" s="223"/>
      <c r="BA327" s="145"/>
      <c r="BB327" s="145"/>
      <c r="BC327" s="145">
        <v>488000</v>
      </c>
      <c r="BD327" s="145"/>
      <c r="BE327" s="145"/>
      <c r="BZ327" s="385" t="s">
        <v>260</v>
      </c>
      <c r="CA327" s="385" t="s">
        <v>271</v>
      </c>
      <c r="CB327" s="385" t="s">
        <v>261</v>
      </c>
      <c r="CE327" s="204"/>
    </row>
    <row r="328" s="385" customFormat="1" ht="14.25" spans="1:83">
      <c r="A328" s="385">
        <v>238</v>
      </c>
      <c r="C328" s="146">
        <v>45056</v>
      </c>
      <c r="D328" s="524" t="s">
        <v>3133</v>
      </c>
      <c r="F328" s="456" t="s">
        <v>3134</v>
      </c>
      <c r="G328" s="385" t="s">
        <v>3135</v>
      </c>
      <c r="H328" s="1026" t="s">
        <v>3136</v>
      </c>
      <c r="I328" s="441" t="s">
        <v>3137</v>
      </c>
      <c r="J328" s="385">
        <v>108.14</v>
      </c>
      <c r="K328" s="385">
        <v>108.14</v>
      </c>
      <c r="L328" s="385">
        <v>5676.54</v>
      </c>
      <c r="M328" s="464">
        <v>613861</v>
      </c>
      <c r="N328" s="465">
        <v>5626.54</v>
      </c>
      <c r="O328" s="473">
        <v>563175.23</v>
      </c>
      <c r="P328" s="474" t="s">
        <v>3138</v>
      </c>
      <c r="Q328" s="476">
        <v>45564</v>
      </c>
      <c r="R328" s="145"/>
      <c r="S328" s="393"/>
      <c r="T328" s="385" t="s">
        <v>3139</v>
      </c>
      <c r="U328" s="385" t="s">
        <v>3140</v>
      </c>
      <c r="V328" s="145">
        <v>20000</v>
      </c>
      <c r="W328" s="146" t="s">
        <v>1491</v>
      </c>
      <c r="X328" s="145">
        <v>2953</v>
      </c>
      <c r="Y328" s="466" t="s">
        <v>2346</v>
      </c>
      <c r="Z328" s="145">
        <v>100000</v>
      </c>
      <c r="AA328" s="393" t="s">
        <v>2068</v>
      </c>
      <c r="AB328" s="145">
        <v>490000</v>
      </c>
      <c r="AC328" s="393" t="s">
        <v>1009</v>
      </c>
      <c r="AD328" s="145">
        <v>909</v>
      </c>
      <c r="AE328" s="393" t="s">
        <v>2654</v>
      </c>
      <c r="AH328" s="145">
        <f t="shared" si="39"/>
        <v>613862</v>
      </c>
      <c r="AK328" s="390">
        <f t="shared" si="37"/>
        <v>-1</v>
      </c>
      <c r="AL328" s="456" t="s">
        <v>3141</v>
      </c>
      <c r="AM328" s="456"/>
      <c r="AN328" s="467"/>
      <c r="AO328" s="467"/>
      <c r="AP328" s="467"/>
      <c r="AQ328" s="395">
        <f>0.6%+0.06%+0.14%+0.06%</f>
        <v>0.0086</v>
      </c>
      <c r="AR328" s="447">
        <f t="shared" si="40"/>
        <v>612953</v>
      </c>
      <c r="AS328" s="145"/>
      <c r="AT328" s="145"/>
      <c r="AU328" s="145"/>
      <c r="AV328" s="145"/>
      <c r="AW328" s="145"/>
      <c r="AX328" s="145"/>
      <c r="AY328" s="223"/>
      <c r="BA328" s="145">
        <v>122953</v>
      </c>
      <c r="BB328" s="145">
        <v>490000</v>
      </c>
      <c r="BC328" s="145"/>
      <c r="BD328" s="145"/>
      <c r="BE328" s="145"/>
      <c r="BZ328" s="385" t="s">
        <v>260</v>
      </c>
      <c r="CA328" s="385" t="s">
        <v>271</v>
      </c>
      <c r="CB328" s="385" t="s">
        <v>261</v>
      </c>
      <c r="CE328" s="204"/>
    </row>
    <row r="329" s="385" customFormat="1" ht="14.25" spans="1:83">
      <c r="A329" s="385">
        <v>239</v>
      </c>
      <c r="C329" s="146">
        <v>45175</v>
      </c>
      <c r="D329" s="524" t="s">
        <v>3142</v>
      </c>
      <c r="F329" s="1027" t="s">
        <v>3143</v>
      </c>
      <c r="G329" s="448" t="s">
        <v>3144</v>
      </c>
      <c r="I329" s="451" t="s">
        <v>3145</v>
      </c>
      <c r="J329" s="385">
        <v>107.77</v>
      </c>
      <c r="K329" s="385">
        <v>107.77</v>
      </c>
      <c r="L329" s="385">
        <v>5960</v>
      </c>
      <c r="M329" s="464">
        <v>642309</v>
      </c>
      <c r="N329" s="465">
        <v>5948.81</v>
      </c>
      <c r="O329" s="473">
        <v>589274.31</v>
      </c>
      <c r="P329" s="474" t="s">
        <v>3146</v>
      </c>
      <c r="Q329" s="476">
        <v>45564</v>
      </c>
      <c r="R329" s="145"/>
      <c r="S329" s="393"/>
      <c r="T329" s="393"/>
      <c r="U329" s="393" t="s">
        <v>267</v>
      </c>
      <c r="V329" s="145">
        <v>24688</v>
      </c>
      <c r="W329" s="393" t="s">
        <v>3147</v>
      </c>
      <c r="X329" s="145">
        <v>106668</v>
      </c>
      <c r="Y329" s="393" t="s">
        <v>2391</v>
      </c>
      <c r="Z329" s="145">
        <v>510000</v>
      </c>
      <c r="AA329" s="385" t="s">
        <v>3130</v>
      </c>
      <c r="AB329" s="145"/>
      <c r="AH329" s="145">
        <f t="shared" si="39"/>
        <v>641356</v>
      </c>
      <c r="AK329" s="390">
        <f t="shared" si="37"/>
        <v>953</v>
      </c>
      <c r="AL329" s="456"/>
      <c r="AM329" s="456"/>
      <c r="AN329" s="467"/>
      <c r="AO329" s="467"/>
      <c r="AP329" s="467"/>
      <c r="AQ329" s="540">
        <f>0.5%+0.12%</f>
        <v>0.0062</v>
      </c>
      <c r="AR329" s="447">
        <f t="shared" si="40"/>
        <v>641356</v>
      </c>
      <c r="AS329" s="145"/>
      <c r="AT329" s="145"/>
      <c r="AU329" s="145"/>
      <c r="AV329" s="145"/>
      <c r="AW329" s="145"/>
      <c r="AX329" s="145"/>
      <c r="AY329" s="223"/>
      <c r="BA329" s="145"/>
      <c r="BB329" s="145"/>
      <c r="BC329" s="145">
        <v>641356</v>
      </c>
      <c r="BD329" s="145"/>
      <c r="BE329" s="145"/>
      <c r="BZ329" s="385" t="s">
        <v>260</v>
      </c>
      <c r="CA329" s="385" t="s">
        <v>271</v>
      </c>
      <c r="CB329" s="385" t="s">
        <v>261</v>
      </c>
      <c r="CE329" s="204"/>
    </row>
    <row r="330" s="385" customFormat="1" ht="14.25" spans="1:83">
      <c r="A330" s="385">
        <v>240</v>
      </c>
      <c r="C330" s="146">
        <v>45173</v>
      </c>
      <c r="D330" s="524" t="s">
        <v>3148</v>
      </c>
      <c r="F330" s="456" t="s">
        <v>3149</v>
      </c>
      <c r="G330" s="385" t="s">
        <v>3150</v>
      </c>
      <c r="H330" s="1026" t="s">
        <v>3151</v>
      </c>
      <c r="I330" s="441" t="s">
        <v>3152</v>
      </c>
      <c r="J330" s="385">
        <v>108.14</v>
      </c>
      <c r="K330" s="385">
        <v>108.14</v>
      </c>
      <c r="L330" s="385">
        <v>5960</v>
      </c>
      <c r="M330" s="464">
        <v>644514</v>
      </c>
      <c r="N330" s="465">
        <v>5947.21</v>
      </c>
      <c r="O330" s="473">
        <v>591297.25</v>
      </c>
      <c r="P330" s="474" t="s">
        <v>3153</v>
      </c>
      <c r="Q330" s="476">
        <v>45564</v>
      </c>
      <c r="R330" s="145"/>
      <c r="S330" s="393"/>
      <c r="T330" s="393"/>
      <c r="U330" s="393" t="s">
        <v>561</v>
      </c>
      <c r="V330" s="145">
        <v>20000</v>
      </c>
      <c r="W330" s="393" t="s">
        <v>2258</v>
      </c>
      <c r="X330" s="145">
        <v>173561</v>
      </c>
      <c r="Y330" s="393" t="s">
        <v>1971</v>
      </c>
      <c r="Z330" s="145">
        <v>450000</v>
      </c>
      <c r="AA330" s="385" t="s">
        <v>1500</v>
      </c>
      <c r="AB330" s="145"/>
      <c r="AH330" s="145">
        <f t="shared" si="39"/>
        <v>643561</v>
      </c>
      <c r="AK330" s="390">
        <f t="shared" si="37"/>
        <v>953</v>
      </c>
      <c r="AL330" s="456" t="s">
        <v>3154</v>
      </c>
      <c r="AM330" s="456"/>
      <c r="AN330" s="467"/>
      <c r="AO330" s="467"/>
      <c r="AP330" s="467"/>
      <c r="AQ330" s="140">
        <f>0.7%+0.05%+0.12%</f>
        <v>0.0087</v>
      </c>
      <c r="AR330" s="447">
        <f t="shared" si="40"/>
        <v>643561</v>
      </c>
      <c r="AS330" s="145"/>
      <c r="AT330" s="145">
        <v>100</v>
      </c>
      <c r="AU330" s="145"/>
      <c r="AV330" s="145"/>
      <c r="AW330" s="145"/>
      <c r="AX330" s="145"/>
      <c r="AY330" s="223"/>
      <c r="BA330" s="145"/>
      <c r="BB330" s="145"/>
      <c r="BC330" s="145">
        <v>193561</v>
      </c>
      <c r="BD330" s="145"/>
      <c r="BE330" s="145">
        <v>450000</v>
      </c>
      <c r="BZ330" s="385" t="s">
        <v>260</v>
      </c>
      <c r="CA330" s="385" t="s">
        <v>271</v>
      </c>
      <c r="CB330" s="385" t="s">
        <v>261</v>
      </c>
      <c r="CE330" s="204"/>
    </row>
    <row r="331" s="385" customFormat="1" ht="14.25" spans="1:83">
      <c r="A331" s="385">
        <v>241</v>
      </c>
      <c r="B331" s="385"/>
      <c r="C331" s="146">
        <v>45534</v>
      </c>
      <c r="D331" s="524" t="s">
        <v>3155</v>
      </c>
      <c r="F331" s="456" t="s">
        <v>3156</v>
      </c>
      <c r="G331" s="385" t="s">
        <v>2631</v>
      </c>
      <c r="H331" s="1026" t="s">
        <v>3157</v>
      </c>
      <c r="I331" s="451" t="s">
        <v>3158</v>
      </c>
      <c r="J331" s="385">
        <v>107.77</v>
      </c>
      <c r="K331" s="385">
        <v>107.77</v>
      </c>
      <c r="L331" s="385">
        <f>M331/K331</f>
        <v>7155.46998236986</v>
      </c>
      <c r="M331" s="464">
        <v>771145</v>
      </c>
      <c r="N331" s="465">
        <v>6985.5</v>
      </c>
      <c r="O331" s="473">
        <v>707472.48</v>
      </c>
      <c r="P331" s="474" t="s">
        <v>3159</v>
      </c>
      <c r="Q331" s="476">
        <v>45562</v>
      </c>
      <c r="R331" s="145"/>
      <c r="S331" s="393"/>
      <c r="T331" s="393"/>
      <c r="U331" s="393" t="s">
        <v>294</v>
      </c>
      <c r="V331" s="145">
        <v>20000</v>
      </c>
      <c r="W331" s="393" t="s">
        <v>503</v>
      </c>
      <c r="X331" s="145">
        <v>300000</v>
      </c>
      <c r="Y331" s="393">
        <v>45536</v>
      </c>
      <c r="Z331" s="145">
        <v>450000</v>
      </c>
      <c r="AA331" s="146">
        <v>45549</v>
      </c>
      <c r="AB331" s="145">
        <v>1145</v>
      </c>
      <c r="AC331" s="146">
        <v>45562</v>
      </c>
      <c r="AH331" s="145">
        <f t="shared" si="39"/>
        <v>771145</v>
      </c>
      <c r="AK331" s="390">
        <f t="shared" si="37"/>
        <v>0</v>
      </c>
      <c r="AL331" s="456" t="s">
        <v>3160</v>
      </c>
      <c r="AM331" s="456"/>
      <c r="AN331" s="467"/>
      <c r="AO331" s="467"/>
      <c r="AP331" s="467"/>
      <c r="AQ331" s="395">
        <f>0.7%+0.08%</f>
        <v>0.0078</v>
      </c>
      <c r="AR331" s="447">
        <f t="shared" si="40"/>
        <v>771145</v>
      </c>
      <c r="AS331" s="145">
        <f>100</f>
        <v>100</v>
      </c>
      <c r="AT331" s="145"/>
      <c r="AU331" s="145"/>
      <c r="AV331" s="145"/>
      <c r="AW331" s="145"/>
      <c r="AX331" s="145"/>
      <c r="AY331" s="223"/>
      <c r="BA331" s="145"/>
      <c r="BB331" s="145"/>
      <c r="BC331" s="145"/>
      <c r="BD331" s="145"/>
      <c r="BE331" s="145"/>
      <c r="BN331" s="385">
        <v>771145</v>
      </c>
      <c r="BO331" s="385"/>
      <c r="BZ331" s="385" t="s">
        <v>260</v>
      </c>
      <c r="CB331" s="385" t="s">
        <v>261</v>
      </c>
      <c r="CE331" s="204"/>
    </row>
    <row r="332" s="385" customFormat="1" ht="28.5" spans="1:83">
      <c r="A332" s="385">
        <v>242</v>
      </c>
      <c r="C332" s="146">
        <v>45271</v>
      </c>
      <c r="D332" s="524" t="s">
        <v>3161</v>
      </c>
      <c r="F332" s="1026" t="s">
        <v>3162</v>
      </c>
      <c r="G332" s="142" t="s">
        <v>3163</v>
      </c>
      <c r="H332" s="1031" t="s">
        <v>3164</v>
      </c>
      <c r="I332" s="441" t="s">
        <v>3165</v>
      </c>
      <c r="J332" s="385">
        <v>108.14</v>
      </c>
      <c r="K332" s="385">
        <v>108.14</v>
      </c>
      <c r="L332" s="385">
        <v>6973.51</v>
      </c>
      <c r="M332" s="464">
        <v>754115</v>
      </c>
      <c r="N332" s="465">
        <v>6782</v>
      </c>
      <c r="O332" s="473">
        <v>691848.62</v>
      </c>
      <c r="P332" s="474" t="s">
        <v>3166</v>
      </c>
      <c r="Q332" s="476">
        <v>45564</v>
      </c>
      <c r="R332" s="145"/>
      <c r="S332" s="445"/>
      <c r="T332" s="445" t="s">
        <v>3167</v>
      </c>
      <c r="U332" s="445" t="s">
        <v>3168</v>
      </c>
      <c r="V332" s="145">
        <f>2000-2000</f>
        <v>0</v>
      </c>
      <c r="W332" s="440">
        <v>44762</v>
      </c>
      <c r="X332" s="145">
        <v>10000</v>
      </c>
      <c r="Y332" s="445" t="s">
        <v>3169</v>
      </c>
      <c r="Z332" s="145">
        <v>743000</v>
      </c>
      <c r="AA332" s="385" t="s">
        <v>597</v>
      </c>
      <c r="AB332" s="145">
        <v>1116</v>
      </c>
      <c r="AC332" s="445" t="s">
        <v>3014</v>
      </c>
      <c r="AH332" s="145">
        <f t="shared" si="39"/>
        <v>754116</v>
      </c>
      <c r="AK332" s="390">
        <f t="shared" si="37"/>
        <v>-1</v>
      </c>
      <c r="AL332" s="456" t="s">
        <v>3170</v>
      </c>
      <c r="AM332" s="456"/>
      <c r="AN332" s="467"/>
      <c r="AO332" s="467"/>
      <c r="AP332" s="467"/>
      <c r="AQ332" s="526">
        <f>0.5%+0.02%+0.08%</f>
        <v>0.006</v>
      </c>
      <c r="AR332" s="447">
        <f t="shared" si="40"/>
        <v>753000</v>
      </c>
      <c r="AS332" s="145">
        <f>100+100</f>
        <v>200</v>
      </c>
      <c r="AT332" s="145"/>
      <c r="AU332" s="145"/>
      <c r="AV332" s="145"/>
      <c r="AW332" s="145"/>
      <c r="AX332" s="145"/>
      <c r="AY332" s="223"/>
      <c r="BA332" s="145"/>
      <c r="BB332" s="145"/>
      <c r="BC332" s="145"/>
      <c r="BD332" s="145"/>
      <c r="BE332" s="145"/>
      <c r="BF332" s="385">
        <v>753000</v>
      </c>
      <c r="BZ332" s="385" t="s">
        <v>260</v>
      </c>
      <c r="CA332" s="385" t="s">
        <v>271</v>
      </c>
      <c r="CB332" s="385" t="s">
        <v>261</v>
      </c>
      <c r="CE332" s="204"/>
    </row>
    <row r="333" s="387" customFormat="1" ht="14.25" spans="1:83">
      <c r="A333" s="387" t="s">
        <v>68</v>
      </c>
      <c r="B333" s="387">
        <f>SUM(B23:B332)</f>
        <v>0</v>
      </c>
      <c r="J333" s="553">
        <f>SUM(J4:J332)</f>
        <v>31331.37</v>
      </c>
      <c r="K333" s="553">
        <f>SUM(K4:K332)</f>
        <v>27820.26</v>
      </c>
      <c r="L333" s="553"/>
      <c r="M333" s="554">
        <f>SUM(M4:M332)</f>
        <v>162458475</v>
      </c>
      <c r="N333" s="555"/>
      <c r="O333" s="556">
        <f>SUM(O23:O332)</f>
        <v>146277756.91</v>
      </c>
      <c r="P333" s="557"/>
      <c r="Q333" s="557"/>
      <c r="R333" s="555">
        <f>SUM(R4:R332)</f>
        <v>231980</v>
      </c>
      <c r="S333" s="558"/>
      <c r="T333" s="558"/>
      <c r="U333" s="558"/>
      <c r="V333" s="555">
        <f t="shared" ref="V333:Z333" si="41">SUM(V4:V332)</f>
        <v>26273696</v>
      </c>
      <c r="W333" s="553"/>
      <c r="X333" s="555">
        <f t="shared" si="41"/>
        <v>45389680</v>
      </c>
      <c r="Y333" s="553"/>
      <c r="Z333" s="555">
        <f t="shared" si="41"/>
        <v>50574062</v>
      </c>
      <c r="AA333" s="553"/>
      <c r="AB333" s="555">
        <f>SUM(AB4:AB332)</f>
        <v>26154743</v>
      </c>
      <c r="AC333" s="553"/>
      <c r="AD333" s="555">
        <f>SUM(AD4:AD332)</f>
        <v>10939927</v>
      </c>
      <c r="AE333" s="553"/>
      <c r="AF333" s="555">
        <f>SUM(AF4:AF332)</f>
        <v>2766704</v>
      </c>
      <c r="AG333" s="553"/>
      <c r="AH333" s="555">
        <f t="shared" ref="AH333:AK333" si="42">SUM(AH4:AH332)</f>
        <v>162098812</v>
      </c>
      <c r="AI333" s="555">
        <f t="shared" si="42"/>
        <v>0</v>
      </c>
      <c r="AJ333" s="555">
        <f t="shared" si="42"/>
        <v>0</v>
      </c>
      <c r="AK333" s="559">
        <f t="shared" si="42"/>
        <v>359663</v>
      </c>
      <c r="AL333" s="553"/>
      <c r="AM333" s="553"/>
      <c r="AN333" s="555"/>
      <c r="AO333" s="553"/>
      <c r="AP333" s="553"/>
      <c r="AQ333" s="553"/>
      <c r="AR333" s="555">
        <f t="shared" ref="AN333:BR333" si="43">SUM(AR4:AR332)</f>
        <v>150454516</v>
      </c>
      <c r="AS333" s="555">
        <f t="shared" si="43"/>
        <v>9900</v>
      </c>
      <c r="AT333" s="555">
        <f t="shared" si="43"/>
        <v>10800</v>
      </c>
      <c r="AU333" s="555">
        <f t="shared" si="43"/>
        <v>1217345</v>
      </c>
      <c r="AV333" s="555">
        <f t="shared" si="43"/>
        <v>23244883</v>
      </c>
      <c r="AW333" s="555">
        <f t="shared" si="43"/>
        <v>11104011</v>
      </c>
      <c r="AX333" s="555">
        <f t="shared" si="43"/>
        <v>9615172</v>
      </c>
      <c r="AY333" s="555">
        <f t="shared" si="43"/>
        <v>15433544</v>
      </c>
      <c r="AZ333" s="555">
        <f t="shared" si="43"/>
        <v>10096008</v>
      </c>
      <c r="BA333" s="555">
        <f t="shared" si="43"/>
        <v>21808723</v>
      </c>
      <c r="BB333" s="555">
        <f t="shared" si="43"/>
        <v>14547779</v>
      </c>
      <c r="BC333" s="555">
        <f t="shared" si="43"/>
        <v>10937909</v>
      </c>
      <c r="BD333" s="555">
        <f t="shared" si="43"/>
        <v>8786716</v>
      </c>
      <c r="BE333" s="555">
        <f t="shared" si="43"/>
        <v>5341191</v>
      </c>
      <c r="BF333" s="555">
        <f t="shared" si="43"/>
        <v>2736000</v>
      </c>
      <c r="BG333" s="555">
        <f t="shared" si="43"/>
        <v>4296362</v>
      </c>
      <c r="BH333" s="555">
        <f t="shared" si="43"/>
        <v>1299350</v>
      </c>
      <c r="BI333" s="555">
        <f t="shared" si="43"/>
        <v>1550860</v>
      </c>
      <c r="BJ333" s="555">
        <f t="shared" si="43"/>
        <v>667000</v>
      </c>
      <c r="BK333" s="555">
        <f t="shared" si="43"/>
        <v>2131360</v>
      </c>
      <c r="BL333" s="555">
        <f t="shared" si="43"/>
        <v>1572402</v>
      </c>
      <c r="BM333" s="555">
        <f t="shared" si="43"/>
        <v>780000</v>
      </c>
      <c r="BN333" s="555">
        <f t="shared" si="43"/>
        <v>2001345</v>
      </c>
      <c r="BO333" s="555">
        <f t="shared" si="43"/>
        <v>170040</v>
      </c>
      <c r="BP333" s="555">
        <f t="shared" si="43"/>
        <v>125320</v>
      </c>
      <c r="BQ333" s="555">
        <f t="shared" si="43"/>
        <v>67040</v>
      </c>
      <c r="BR333" s="555">
        <f t="shared" si="43"/>
        <v>101920</v>
      </c>
      <c r="BS333" s="555"/>
      <c r="BT333" s="555"/>
      <c r="BU333" s="553"/>
      <c r="BV333" s="555">
        <f>SUM(BV23:BV332)</f>
        <v>0</v>
      </c>
      <c r="BW333" s="560"/>
      <c r="BX333" s="560"/>
      <c r="BY333" s="555">
        <f>SUM(BY23:BY332)</f>
        <v>0</v>
      </c>
    </row>
    <row r="334" s="385" customFormat="1" ht="14.25" spans="1:83">
      <c r="M334" s="389"/>
      <c r="N334" s="145"/>
      <c r="O334" s="390"/>
      <c r="P334" s="391"/>
      <c r="Q334" s="392" t="s">
        <v>3171</v>
      </c>
      <c r="R334" s="145">
        <v>231980</v>
      </c>
      <c r="S334" s="393"/>
      <c r="T334" s="393"/>
      <c r="U334" s="393"/>
      <c r="V334" s="145"/>
      <c r="X334" s="145"/>
      <c r="Z334" s="145"/>
      <c r="AB334" s="145"/>
      <c r="AH334" s="145">
        <f>AH333/1.09</f>
        <v>148714506.422018</v>
      </c>
      <c r="AK334" s="390"/>
      <c r="AQ334" s="561"/>
      <c r="AR334" s="447"/>
      <c r="AS334" s="145"/>
      <c r="AT334" s="145"/>
      <c r="AU334" s="145"/>
      <c r="AV334" s="145"/>
      <c r="AW334" s="145"/>
      <c r="AX334" s="145"/>
      <c r="AY334" s="223"/>
      <c r="AZ334" s="125"/>
      <c r="BA334" s="145"/>
      <c r="BB334" s="145"/>
      <c r="BC334" s="145"/>
      <c r="BD334" s="145"/>
      <c r="BE334" s="145">
        <f>BE333+'画堂春锦苑1#2#3#5#7#楼住宅销售明细表'!BC442</f>
        <v>23680603</v>
      </c>
      <c r="BF334" s="145">
        <f>BF333+'画堂春锦苑1#2#3#5#7#楼住宅销售明细表'!BD442</f>
        <v>14744088</v>
      </c>
      <c r="BG334" s="145">
        <f>BG333+'画堂春锦苑1#2#3#5#7#楼住宅销售明细表'!BE442</f>
        <v>17542370</v>
      </c>
      <c r="BH334" s="145">
        <f>BH333+'画堂春锦苑1#2#3#5#7#楼住宅销售明细表'!BF442</f>
        <v>8892027</v>
      </c>
      <c r="BI334" s="145">
        <f>BI333+'画堂春锦苑1#2#3#5#7#楼住宅销售明细表'!BG442</f>
        <v>24731367</v>
      </c>
      <c r="BJ334" s="145">
        <f>BJ333+'画堂春锦苑1#2#3#5#7#楼住宅销售明细表'!BH442</f>
        <v>19278850</v>
      </c>
      <c r="BK334" s="145">
        <f>BK333+'画堂春锦苑1#2#3#5#7#楼住宅销售明细表'!BI442+'画堂春锦苑8#楼明细表'!AQ91</f>
        <v>15636944</v>
      </c>
      <c r="BL334" s="145"/>
      <c r="BM334" s="145"/>
      <c r="BN334" s="145">
        <f>BN333+'画堂春锦苑1#2#3#5#7#楼住宅销售明细表'!BM442+'画堂春锦苑8#楼明细表'!AU91</f>
        <v>10268484</v>
      </c>
      <c r="BO334" s="145">
        <f>BO333+'画堂春锦苑1#2#3#5#7#楼住宅销售明细表'!BN442+'画堂春锦苑8#楼明细表'!AV91+'画堂春锦苑住宅4#6#'!AR168</f>
        <v>13587290</v>
      </c>
      <c r="BP334" s="145"/>
      <c r="BQ334" s="145"/>
      <c r="BR334" s="145"/>
      <c r="BS334" s="145"/>
      <c r="BT334" s="145"/>
      <c r="BV334" s="386"/>
      <c r="BW334" s="386"/>
      <c r="BX334" s="386"/>
    </row>
    <row r="335" s="385" customFormat="1" ht="14.25" spans="1:83">
      <c r="M335" s="389"/>
      <c r="N335" s="145"/>
      <c r="O335" s="390"/>
      <c r="P335" s="391"/>
      <c r="Q335" s="392" t="s">
        <v>94</v>
      </c>
      <c r="R335" s="145"/>
      <c r="S335" s="393"/>
      <c r="T335" s="393"/>
      <c r="U335" s="393"/>
      <c r="V335" s="145"/>
      <c r="X335" s="145"/>
      <c r="Z335" s="145"/>
      <c r="AB335" s="145"/>
      <c r="AH335" s="145"/>
      <c r="AK335" s="390"/>
      <c r="AQ335" s="561"/>
      <c r="AR335" s="447"/>
      <c r="AS335" s="145"/>
      <c r="AT335" s="145"/>
      <c r="AU335" s="395"/>
      <c r="AV335" s="395"/>
      <c r="AW335" s="395"/>
      <c r="AX335" s="395"/>
      <c r="AY335" s="177"/>
      <c r="AZ335" s="177"/>
      <c r="BA335" s="395"/>
      <c r="BB335" s="145"/>
      <c r="BC335" s="145"/>
      <c r="BD335" s="145"/>
      <c r="BE335" s="145"/>
      <c r="BO335" s="385">
        <v>170040</v>
      </c>
    </row>
    <row r="336" s="385" customFormat="1" ht="14.25" spans="1:83">
      <c r="M336" s="389"/>
      <c r="N336" s="145"/>
      <c r="O336" s="390"/>
      <c r="P336" s="391"/>
      <c r="Q336" s="520" t="s">
        <v>3172</v>
      </c>
      <c r="R336" s="145"/>
      <c r="S336" s="393"/>
      <c r="T336" s="393"/>
      <c r="U336" s="393"/>
      <c r="V336" s="145"/>
      <c r="X336" s="145"/>
      <c r="Z336" s="145"/>
      <c r="AB336" s="145"/>
      <c r="AH336" s="145"/>
      <c r="AK336" s="390"/>
      <c r="AQ336" s="561"/>
      <c r="AR336" s="447"/>
      <c r="AS336" s="145"/>
      <c r="AT336" s="145"/>
      <c r="AU336" s="395"/>
      <c r="AV336" s="395"/>
      <c r="AW336" s="395"/>
      <c r="AX336" s="395"/>
      <c r="AY336" s="177"/>
      <c r="AZ336" s="177"/>
      <c r="BA336" s="395"/>
      <c r="BB336" s="145"/>
      <c r="BC336" s="145"/>
      <c r="BD336" s="145"/>
      <c r="BE336" s="145"/>
      <c r="BO336" s="385">
        <f>BO334-BO335</f>
        <v>13417250</v>
      </c>
    </row>
    <row r="337" s="385" customFormat="1" ht="14.25" spans="1:88">
      <c r="D337" s="385" t="s">
        <v>3173</v>
      </c>
      <c r="E337" s="385" t="s">
        <v>3174</v>
      </c>
      <c r="M337" s="389"/>
      <c r="N337" s="145"/>
      <c r="O337" s="390"/>
      <c r="P337" s="391" t="s">
        <v>72</v>
      </c>
      <c r="Q337" s="520" t="s">
        <v>9</v>
      </c>
      <c r="R337" s="562"/>
      <c r="S337" s="393"/>
      <c r="T337" s="448"/>
      <c r="U337" s="393"/>
      <c r="V337" s="145"/>
      <c r="X337" s="145"/>
      <c r="Z337" s="145"/>
      <c r="AB337" s="145"/>
      <c r="AH337" s="145" t="s">
        <v>3175</v>
      </c>
      <c r="AK337" s="390"/>
      <c r="AQ337" s="561"/>
      <c r="AR337" s="447"/>
      <c r="AS337" s="145"/>
      <c r="AT337" s="145"/>
      <c r="AU337" s="145"/>
      <c r="AV337" s="145"/>
      <c r="AW337" s="145"/>
      <c r="AX337" s="145"/>
      <c r="AY337" s="145"/>
      <c r="AZ337" s="145"/>
      <c r="BA337" s="145"/>
      <c r="BB337" s="145"/>
      <c r="BC337" s="145"/>
      <c r="BD337" s="145"/>
      <c r="BE337" s="145"/>
    </row>
    <row r="338" s="385" customFormat="1" ht="14.25" spans="1:88">
      <c r="C338" s="142"/>
      <c r="E338" s="142" t="s">
        <v>3176</v>
      </c>
      <c r="F338" s="385" t="s">
        <v>3177</v>
      </c>
      <c r="G338" s="385" t="s">
        <v>3178</v>
      </c>
      <c r="H338" s="385" t="s">
        <v>3179</v>
      </c>
      <c r="M338" s="389"/>
      <c r="N338" s="145"/>
      <c r="O338" s="390"/>
      <c r="P338" s="391"/>
      <c r="Q338" s="375"/>
      <c r="R338" s="106">
        <f>R334+R336+R337</f>
        <v>231980</v>
      </c>
      <c r="S338" s="393"/>
      <c r="T338" s="393"/>
      <c r="U338" s="393"/>
      <c r="V338" s="145"/>
      <c r="X338" s="145"/>
      <c r="Z338" s="145"/>
      <c r="AB338" s="145"/>
      <c r="AH338" s="145"/>
      <c r="AK338" s="390"/>
      <c r="AQ338" s="561"/>
      <c r="AR338" s="145"/>
      <c r="AS338" s="145"/>
      <c r="AT338" s="145"/>
      <c r="AU338" s="145"/>
      <c r="AV338" s="145"/>
      <c r="AW338" s="145"/>
      <c r="AX338" s="145"/>
      <c r="AY338" s="223"/>
      <c r="AZ338" s="125"/>
      <c r="BA338" s="145"/>
      <c r="BB338" s="145"/>
      <c r="BC338" s="145"/>
      <c r="BD338" s="145"/>
      <c r="BE338" s="145"/>
    </row>
    <row r="339" s="385" customFormat="1" ht="14.25" spans="1:88">
      <c r="C339" s="385" t="s">
        <v>3180</v>
      </c>
      <c r="D339" s="385">
        <v>6731.74</v>
      </c>
      <c r="E339" s="385">
        <v>5077.02</v>
      </c>
      <c r="F339" s="385">
        <v>286.77</v>
      </c>
      <c r="G339" s="385">
        <v>1367.95</v>
      </c>
      <c r="M339" s="389"/>
      <c r="N339" s="145"/>
      <c r="O339" s="390"/>
      <c r="P339" s="391"/>
      <c r="Q339" s="391"/>
      <c r="R339" s="465"/>
      <c r="S339" s="563"/>
      <c r="T339" s="563"/>
      <c r="U339" s="563"/>
      <c r="V339" s="145"/>
      <c r="X339" s="145"/>
      <c r="Z339" s="145"/>
      <c r="AB339" s="145"/>
      <c r="AH339" s="145"/>
      <c r="AK339" s="390"/>
      <c r="AQ339" s="561"/>
      <c r="AR339" s="145"/>
      <c r="AS339" s="145"/>
      <c r="AT339" s="145"/>
      <c r="AU339" s="145"/>
      <c r="AV339" s="145"/>
      <c r="AW339" s="145"/>
      <c r="AX339" s="145"/>
      <c r="AY339" s="223"/>
      <c r="AZ339" s="125"/>
      <c r="BA339" s="145"/>
      <c r="BB339" s="145"/>
      <c r="BC339" s="145"/>
      <c r="BD339" s="145"/>
      <c r="BE339" s="145"/>
    </row>
    <row r="340" s="385" customFormat="1" ht="14.25" spans="1:88">
      <c r="C340" s="385" t="s">
        <v>3181</v>
      </c>
      <c r="D340" s="385">
        <v>9068.14</v>
      </c>
      <c r="E340" s="385">
        <v>6638.33</v>
      </c>
      <c r="F340" s="385">
        <v>411.95</v>
      </c>
      <c r="G340" s="385">
        <v>2017.86</v>
      </c>
      <c r="M340" s="389"/>
      <c r="N340" s="145"/>
      <c r="O340" s="390"/>
      <c r="P340" s="391"/>
      <c r="Q340" s="391"/>
      <c r="R340" s="145"/>
      <c r="S340" s="393"/>
      <c r="T340" s="393"/>
      <c r="U340" s="393"/>
      <c r="V340" s="145"/>
      <c r="X340" s="145"/>
      <c r="Z340" s="145"/>
      <c r="AB340" s="145"/>
      <c r="AH340" s="145"/>
      <c r="AK340" s="390"/>
      <c r="AQ340" s="561"/>
      <c r="AR340" s="145"/>
      <c r="AS340" s="145"/>
      <c r="AT340" s="145"/>
      <c r="AU340" s="145"/>
      <c r="AV340" s="145"/>
      <c r="AW340" s="145"/>
      <c r="AX340" s="145"/>
      <c r="AY340" s="223"/>
      <c r="AZ340" s="125"/>
      <c r="BA340" s="145"/>
      <c r="BB340" s="145"/>
      <c r="BC340" s="145"/>
      <c r="BD340" s="145"/>
      <c r="BE340" s="145"/>
    </row>
    <row r="341" s="385" customFormat="1" ht="14.25" spans="1:88">
      <c r="C341" s="385" t="s">
        <v>3182</v>
      </c>
      <c r="D341" s="385">
        <v>7776.27</v>
      </c>
      <c r="E341" s="385">
        <v>5453.36</v>
      </c>
      <c r="F341" s="385">
        <v>409.1</v>
      </c>
      <c r="G341" s="385">
        <v>1913.81</v>
      </c>
      <c r="M341" s="389"/>
      <c r="N341" s="145"/>
      <c r="O341" s="390"/>
      <c r="P341" s="391"/>
      <c r="Q341" s="391"/>
      <c r="R341" s="145"/>
      <c r="S341" s="393"/>
      <c r="T341" s="393"/>
      <c r="U341" s="393"/>
      <c r="V341" s="145"/>
      <c r="X341" s="145"/>
      <c r="Z341" s="145"/>
      <c r="AB341" s="145"/>
      <c r="AH341" s="145"/>
      <c r="AK341" s="390"/>
      <c r="AQ341" s="561"/>
      <c r="AR341" s="145"/>
      <c r="AS341" s="145"/>
      <c r="AT341" s="145"/>
      <c r="AU341" s="145"/>
      <c r="AV341" s="145"/>
      <c r="AW341" s="145"/>
      <c r="AX341" s="145"/>
      <c r="AY341" s="223"/>
      <c r="AZ341" s="125"/>
      <c r="BA341" s="145"/>
      <c r="BB341" s="145"/>
      <c r="BC341" s="145"/>
      <c r="BD341" s="145"/>
      <c r="BE341" s="145"/>
    </row>
    <row r="342" s="385" customFormat="1" ht="14.25" spans="1:88">
      <c r="C342" s="385" t="s">
        <v>3183</v>
      </c>
      <c r="D342" s="385">
        <v>7751.6</v>
      </c>
      <c r="E342" s="385">
        <v>5453.36</v>
      </c>
      <c r="F342" s="385">
        <v>382.33</v>
      </c>
      <c r="G342" s="385">
        <v>1915.91</v>
      </c>
      <c r="M342" s="389"/>
      <c r="N342" s="145"/>
      <c r="O342" s="390"/>
      <c r="P342" s="391"/>
      <c r="Q342" s="391"/>
      <c r="R342" s="145"/>
      <c r="S342" s="393"/>
      <c r="T342" s="393"/>
      <c r="U342" s="393"/>
      <c r="V342" s="145"/>
      <c r="X342" s="145"/>
      <c r="Z342" s="145"/>
      <c r="AB342" s="145"/>
      <c r="AH342" s="145"/>
      <c r="AK342" s="390"/>
      <c r="AQ342" s="561"/>
      <c r="AR342" s="145"/>
      <c r="AS342" s="145"/>
      <c r="AT342" s="145"/>
      <c r="AU342" s="145"/>
      <c r="AV342" s="145"/>
      <c r="AW342" s="145"/>
      <c r="AX342" s="145"/>
      <c r="AY342" s="223"/>
      <c r="AZ342" s="125"/>
      <c r="BA342" s="145"/>
      <c r="BB342" s="145"/>
      <c r="BC342" s="145"/>
      <c r="BD342" s="145"/>
      <c r="BE342" s="145"/>
    </row>
    <row r="343" s="385" customFormat="1" ht="14.25" spans="1:88">
      <c r="M343" s="389"/>
      <c r="N343" s="145"/>
      <c r="O343" s="390"/>
      <c r="P343" s="391"/>
      <c r="Q343" s="391"/>
      <c r="R343" s="145"/>
      <c r="S343" s="393"/>
      <c r="T343" s="393"/>
      <c r="U343" s="393"/>
      <c r="V343" s="145"/>
      <c r="X343" s="145"/>
      <c r="Z343" s="145"/>
      <c r="AB343" s="145"/>
      <c r="AH343" s="145"/>
      <c r="AK343" s="390"/>
      <c r="AQ343" s="561"/>
      <c r="AR343" s="145"/>
      <c r="AS343" s="145"/>
      <c r="AT343" s="145"/>
      <c r="AU343" s="145"/>
      <c r="AV343" s="145"/>
      <c r="AW343" s="145"/>
      <c r="AX343" s="145"/>
      <c r="AY343" s="223"/>
      <c r="AZ343" s="125"/>
      <c r="BA343" s="145"/>
      <c r="BB343" s="145"/>
      <c r="BC343" s="145"/>
      <c r="BD343" s="145"/>
      <c r="BE343" s="145"/>
    </row>
    <row r="344" s="385" customFormat="1" ht="14.25" spans="1:88">
      <c r="M344" s="389"/>
      <c r="N344" s="145"/>
      <c r="O344" s="390"/>
      <c r="P344" s="391"/>
      <c r="Q344" s="391"/>
      <c r="R344" s="145"/>
      <c r="S344" s="393"/>
      <c r="T344" s="393"/>
      <c r="U344" s="393"/>
      <c r="V344" s="145"/>
      <c r="X344" s="145"/>
      <c r="Z344" s="145"/>
      <c r="AB344" s="145"/>
      <c r="AH344" s="145"/>
      <c r="AK344" s="390"/>
      <c r="AQ344" s="561"/>
      <c r="AR344" s="145"/>
      <c r="AS344" s="145"/>
      <c r="AT344" s="145"/>
      <c r="AU344" s="145"/>
      <c r="AV344" s="145"/>
      <c r="AW344" s="145"/>
      <c r="AX344" s="145"/>
      <c r="AY344" s="223"/>
      <c r="AZ344" s="125"/>
      <c r="BA344" s="145"/>
      <c r="BB344" s="145"/>
      <c r="BC344" s="145"/>
      <c r="BD344" s="145"/>
      <c r="BE344" s="145"/>
    </row>
    <row r="345" s="385" customFormat="1" ht="14.25" spans="1:88">
      <c r="M345" s="389"/>
      <c r="N345" s="145"/>
      <c r="O345" s="390"/>
      <c r="P345" s="391"/>
      <c r="Q345" s="391"/>
      <c r="R345" s="145"/>
      <c r="S345" s="393"/>
      <c r="T345" s="393"/>
      <c r="U345" s="393"/>
      <c r="V345" s="145"/>
      <c r="X345" s="145"/>
      <c r="Z345" s="145"/>
      <c r="AB345" s="145"/>
      <c r="AH345" s="145"/>
      <c r="AK345" s="390"/>
      <c r="AQ345" s="561"/>
      <c r="AR345" s="145"/>
      <c r="AS345" s="145"/>
      <c r="AT345" s="145"/>
      <c r="AU345" s="145"/>
      <c r="AV345" s="145"/>
      <c r="AW345" s="145"/>
      <c r="AX345" s="145"/>
      <c r="AY345" s="223"/>
      <c r="AZ345" s="125"/>
      <c r="BA345" s="145"/>
      <c r="BB345" s="145"/>
      <c r="BC345" s="145"/>
      <c r="BD345" s="145"/>
      <c r="BE345" s="145"/>
      <c r="BM345" s="385">
        <f>BM333+'画堂春锦苑1#2#3#5#7#楼住宅销售明细表'!BK442+'画堂春锦苑8#楼明细表'!AS91</f>
        <v>10402922</v>
      </c>
    </row>
    <row r="346" s="204" customFormat="1" ht="14.25" spans="1:88">
      <c r="M346" s="430">
        <v>160671028</v>
      </c>
      <c r="N346" s="431"/>
      <c r="O346" s="432"/>
      <c r="P346" s="520"/>
      <c r="Q346" s="564"/>
      <c r="R346" s="431"/>
      <c r="S346" s="434"/>
      <c r="T346" s="434"/>
      <c r="U346" s="434"/>
      <c r="V346" s="431"/>
      <c r="X346" s="431"/>
      <c r="Z346" s="431"/>
      <c r="AB346" s="431"/>
      <c r="AH346" s="431"/>
      <c r="AK346" s="432"/>
      <c r="AQ346" s="565"/>
      <c r="AR346" s="431"/>
      <c r="AS346" s="431"/>
      <c r="AT346" s="431"/>
      <c r="AU346" s="431"/>
      <c r="AV346" s="431"/>
      <c r="AW346" s="431"/>
      <c r="AX346" s="431"/>
      <c r="AY346" s="242"/>
      <c r="AZ346" s="101"/>
      <c r="BA346" s="431"/>
      <c r="BB346" s="431"/>
      <c r="BC346" s="431"/>
      <c r="BD346" s="431"/>
      <c r="BE346" s="431"/>
      <c r="CJ346" s="104"/>
    </row>
    <row r="347" s="204" customFormat="1" ht="14.25" spans="1:88">
      <c r="M347" s="430">
        <f>M333-M346</f>
        <v>1787447</v>
      </c>
      <c r="N347" s="431"/>
      <c r="O347" s="432"/>
      <c r="P347" s="520"/>
      <c r="Q347" s="564"/>
      <c r="R347" s="431"/>
      <c r="S347" s="434"/>
      <c r="T347" s="434"/>
      <c r="U347" s="434"/>
      <c r="V347" s="431"/>
      <c r="X347" s="431"/>
      <c r="Z347" s="431"/>
      <c r="AB347" s="431"/>
      <c r="AH347" s="431"/>
      <c r="AK347" s="432"/>
      <c r="AQ347" s="565"/>
      <c r="AR347" s="431"/>
      <c r="AS347" s="431"/>
      <c r="AT347" s="431"/>
      <c r="AU347" s="431"/>
      <c r="AV347" s="431"/>
      <c r="AW347" s="431"/>
      <c r="AX347" s="431"/>
      <c r="AY347" s="242"/>
      <c r="AZ347" s="101"/>
      <c r="BA347" s="431"/>
      <c r="BB347" s="431"/>
      <c r="BC347" s="431"/>
      <c r="BD347" s="431"/>
      <c r="BE347" s="431"/>
      <c r="CJ347" s="104"/>
    </row>
    <row r="348" s="204" customFormat="1" ht="14.25" spans="1:88">
      <c r="M348" s="430"/>
      <c r="N348" s="431"/>
      <c r="O348" s="432"/>
      <c r="P348" s="520"/>
      <c r="Q348" s="564"/>
      <c r="R348" s="431"/>
      <c r="S348" s="434"/>
      <c r="T348" s="434"/>
      <c r="U348" s="434"/>
      <c r="V348" s="431"/>
      <c r="X348" s="431"/>
      <c r="Z348" s="431"/>
      <c r="AB348" s="431"/>
      <c r="AH348" s="431"/>
      <c r="AK348" s="432"/>
      <c r="AQ348" s="565"/>
      <c r="AR348" s="431"/>
      <c r="AS348" s="431"/>
      <c r="AT348" s="431"/>
      <c r="AU348" s="431"/>
      <c r="AV348" s="431"/>
      <c r="AW348" s="431"/>
      <c r="AX348" s="431"/>
      <c r="AY348" s="242"/>
      <c r="AZ348" s="101"/>
      <c r="BA348" s="431"/>
      <c r="BB348" s="431"/>
      <c r="BC348" s="431"/>
      <c r="BD348" s="431"/>
      <c r="BE348" s="431"/>
      <c r="CJ348" s="104"/>
    </row>
    <row r="349" s="204" customFormat="1" ht="14.25" spans="1:88">
      <c r="M349" s="430"/>
      <c r="N349" s="431"/>
      <c r="O349" s="432"/>
      <c r="P349" s="520"/>
      <c r="Q349" s="564"/>
      <c r="R349" s="431"/>
      <c r="S349" s="434"/>
      <c r="T349" s="434"/>
      <c r="U349" s="434"/>
      <c r="V349" s="431"/>
      <c r="X349" s="431"/>
      <c r="Z349" s="431"/>
      <c r="AB349" s="431"/>
      <c r="AH349" s="431"/>
      <c r="AK349" s="432"/>
      <c r="AQ349" s="565"/>
      <c r="AR349" s="431"/>
      <c r="AS349" s="431"/>
      <c r="AT349" s="431"/>
      <c r="AU349" s="431"/>
      <c r="AV349" s="431"/>
      <c r="AW349" s="431"/>
      <c r="AX349" s="431"/>
      <c r="AY349" s="242"/>
      <c r="AZ349" s="101"/>
      <c r="BA349" s="431"/>
      <c r="BB349" s="431"/>
      <c r="BC349" s="431"/>
      <c r="BD349" s="431"/>
      <c r="BE349" s="431"/>
      <c r="BV349" s="204" t="s">
        <v>155</v>
      </c>
      <c r="BW349" s="204">
        <v>497.4</v>
      </c>
      <c r="CJ349" s="104"/>
    </row>
    <row r="350" s="204" customFormat="1" customHeight="1" spans="1:88">
      <c r="M350" s="430"/>
      <c r="N350" s="431"/>
      <c r="O350" s="432"/>
      <c r="P350" s="520"/>
      <c r="Q350" s="564"/>
      <c r="R350" s="431"/>
      <c r="S350" s="434"/>
      <c r="T350" s="434"/>
      <c r="U350" s="434"/>
      <c r="V350" s="431"/>
      <c r="X350" s="431"/>
      <c r="Z350" s="431"/>
      <c r="AB350" s="431"/>
      <c r="AH350" s="431"/>
      <c r="AK350" s="432"/>
      <c r="AQ350" s="565"/>
      <c r="AR350" s="431"/>
      <c r="AS350" s="431"/>
      <c r="AT350" s="431"/>
      <c r="AU350" s="431"/>
      <c r="AV350" s="431"/>
      <c r="AW350" s="431"/>
      <c r="AX350" s="431"/>
      <c r="AY350" s="242"/>
      <c r="AZ350" s="101"/>
      <c r="BA350" s="431"/>
      <c r="BB350" s="431"/>
      <c r="BC350" s="431"/>
      <c r="BD350" s="431"/>
      <c r="BE350" s="431"/>
      <c r="CJ350" s="104"/>
    </row>
    <row r="351" s="204" customFormat="1" customHeight="1" spans="1:88">
      <c r="M351" s="430"/>
      <c r="N351" s="431"/>
      <c r="O351" s="432"/>
      <c r="P351" s="520"/>
      <c r="Q351" s="564"/>
      <c r="R351" s="431"/>
      <c r="S351" s="434"/>
      <c r="T351" s="434"/>
      <c r="U351" s="434"/>
      <c r="V351" s="431"/>
      <c r="X351" s="431"/>
      <c r="Z351" s="431"/>
      <c r="AB351" s="431"/>
      <c r="AH351" s="431"/>
      <c r="AK351" s="432"/>
      <c r="AQ351" s="565"/>
      <c r="AR351" s="431"/>
      <c r="AS351" s="431"/>
      <c r="AT351" s="431"/>
      <c r="AU351" s="431"/>
      <c r="AV351" s="431"/>
      <c r="AW351" s="431"/>
      <c r="AX351" s="431"/>
      <c r="AY351" s="242"/>
      <c r="AZ351" s="101"/>
      <c r="BA351" s="431"/>
      <c r="BB351" s="431"/>
      <c r="BC351" s="431"/>
      <c r="BD351" s="431"/>
      <c r="BE351" s="431"/>
      <c r="CJ351" s="104"/>
    </row>
    <row r="352" s="388" customFormat="1" customHeight="1" spans="1:88">
      <c r="A352" s="204"/>
      <c r="B352" s="204"/>
      <c r="C352" s="204"/>
      <c r="D352" s="204"/>
      <c r="E352" s="204"/>
      <c r="F352" s="204"/>
      <c r="G352" s="204"/>
      <c r="H352" s="204"/>
      <c r="I352" s="204"/>
      <c r="J352" s="204"/>
      <c r="K352" s="204"/>
      <c r="L352" s="204"/>
      <c r="M352" s="430"/>
      <c r="N352" s="431"/>
      <c r="O352" s="432"/>
      <c r="P352" s="520"/>
      <c r="Q352" s="564"/>
      <c r="R352" s="431"/>
      <c r="S352" s="434"/>
      <c r="T352" s="566"/>
      <c r="U352" s="434"/>
      <c r="V352" s="431"/>
      <c r="W352" s="204"/>
      <c r="X352" s="431"/>
      <c r="Y352" s="204"/>
      <c r="Z352" s="431"/>
      <c r="AA352" s="204"/>
      <c r="AB352" s="431"/>
      <c r="AC352" s="204"/>
      <c r="AD352" s="204"/>
      <c r="AE352" s="204"/>
      <c r="AF352" s="204"/>
      <c r="AG352" s="204"/>
      <c r="AH352" s="431"/>
      <c r="AI352" s="204"/>
      <c r="AJ352" s="204"/>
      <c r="AK352" s="432"/>
      <c r="AL352" s="204"/>
      <c r="AM352" s="204"/>
      <c r="AN352" s="204"/>
      <c r="AO352" s="204"/>
      <c r="AP352" s="204"/>
      <c r="AQ352" s="489"/>
      <c r="AR352" s="431"/>
      <c r="AS352" s="431"/>
      <c r="AT352" s="431"/>
      <c r="AU352" s="431"/>
      <c r="AV352" s="431"/>
      <c r="AW352" s="431"/>
      <c r="AX352" s="431"/>
      <c r="AY352" s="242"/>
      <c r="AZ352" s="101"/>
      <c r="BA352" s="431"/>
      <c r="BB352" s="431"/>
      <c r="BC352" s="431"/>
      <c r="BD352" s="431"/>
      <c r="BE352" s="431"/>
      <c r="BF352" s="204"/>
      <c r="BG352" s="204"/>
      <c r="BH352" s="204"/>
      <c r="BI352" s="204"/>
      <c r="BJ352" s="204"/>
      <c r="BK352" s="204"/>
      <c r="BL352" s="204"/>
      <c r="BM352" s="204"/>
      <c r="BN352" s="204"/>
      <c r="BO352" s="204"/>
      <c r="BP352" s="204"/>
      <c r="BQ352" s="204"/>
      <c r="BR352" s="204"/>
      <c r="BS352" s="204"/>
      <c r="BT352" s="204"/>
      <c r="BU352" s="204"/>
      <c r="BV352" s="204"/>
      <c r="BW352" s="204"/>
      <c r="BX352" s="204"/>
      <c r="BY352" s="204"/>
      <c r="BZ352" s="204"/>
      <c r="CA352" s="204"/>
      <c r="CB352" s="204"/>
      <c r="CC352" s="204"/>
      <c r="CD352" s="204"/>
      <c r="CE352" s="204"/>
      <c r="CF352" s="204"/>
      <c r="CG352" s="204"/>
      <c r="CH352" s="204"/>
      <c r="CI352" s="204"/>
      <c r="CJ352" s="104"/>
    </row>
    <row r="353" s="388" customFormat="1" customHeight="1" spans="1:88">
      <c r="A353" s="204"/>
      <c r="B353" s="204"/>
      <c r="C353" s="204"/>
      <c r="D353" s="204"/>
      <c r="E353" s="204"/>
      <c r="F353" s="204"/>
      <c r="G353" s="204"/>
      <c r="H353" s="204"/>
      <c r="I353" s="204"/>
      <c r="J353" s="204"/>
      <c r="K353" s="204"/>
      <c r="L353" s="204"/>
      <c r="M353" s="430"/>
      <c r="N353" s="431"/>
      <c r="O353" s="432"/>
      <c r="P353" s="520"/>
      <c r="Q353" s="564"/>
      <c r="R353" s="431"/>
      <c r="S353" s="434"/>
      <c r="T353" s="566"/>
      <c r="U353" s="434"/>
      <c r="V353" s="431"/>
      <c r="W353" s="204"/>
      <c r="X353" s="431"/>
      <c r="Y353" s="204"/>
      <c r="Z353" s="431"/>
      <c r="AA353" s="204"/>
      <c r="AB353" s="431"/>
      <c r="AC353" s="204"/>
      <c r="AD353" s="204"/>
      <c r="AE353" s="204"/>
      <c r="AF353" s="204"/>
      <c r="AG353" s="204"/>
      <c r="AH353" s="431"/>
      <c r="AI353" s="204"/>
      <c r="AJ353" s="204"/>
      <c r="AK353" s="432"/>
      <c r="AL353" s="204"/>
      <c r="AM353" s="204"/>
      <c r="AN353" s="204"/>
      <c r="AO353" s="204"/>
      <c r="AP353" s="204"/>
      <c r="AQ353" s="489"/>
      <c r="AR353" s="431"/>
      <c r="AS353" s="431"/>
      <c r="AT353" s="431"/>
      <c r="AU353" s="431"/>
      <c r="AV353" s="431"/>
      <c r="AW353" s="431"/>
      <c r="AX353" s="431"/>
      <c r="AY353" s="242"/>
      <c r="AZ353" s="101"/>
      <c r="BA353" s="431"/>
      <c r="BB353" s="431"/>
      <c r="BC353" s="431"/>
      <c r="BD353" s="431"/>
      <c r="BE353" s="431"/>
      <c r="BF353" s="204"/>
      <c r="BG353" s="204"/>
      <c r="BH353" s="204"/>
      <c r="BI353" s="204"/>
      <c r="BJ353" s="204"/>
      <c r="BK353" s="204"/>
      <c r="BL353" s="204"/>
      <c r="BM353" s="204"/>
      <c r="BN353" s="204"/>
      <c r="BO353" s="204"/>
      <c r="BP353" s="204"/>
      <c r="BQ353" s="204"/>
      <c r="BR353" s="204"/>
      <c r="BS353" s="204"/>
      <c r="BT353" s="204"/>
      <c r="BU353" s="204"/>
      <c r="BV353" s="204"/>
      <c r="BW353" s="204"/>
      <c r="BX353" s="204"/>
      <c r="BY353" s="204"/>
      <c r="BZ353" s="204"/>
      <c r="CA353" s="204"/>
      <c r="CB353" s="204"/>
      <c r="CC353" s="204"/>
      <c r="CD353" s="204"/>
      <c r="CE353" s="204"/>
      <c r="CF353" s="204"/>
      <c r="CG353" s="204"/>
      <c r="CH353" s="204"/>
      <c r="CI353" s="204"/>
      <c r="CJ353" s="104"/>
    </row>
    <row r="354" s="388" customFormat="1" customHeight="1" spans="1:88">
      <c r="A354" s="204"/>
      <c r="B354" s="204"/>
      <c r="C354" s="204"/>
      <c r="D354" s="204"/>
      <c r="E354" s="204"/>
      <c r="F354" s="204"/>
      <c r="G354" s="204"/>
      <c r="H354" s="204"/>
      <c r="I354" s="204"/>
      <c r="J354" s="204"/>
      <c r="K354" s="204"/>
      <c r="L354" s="204"/>
      <c r="M354" s="430"/>
      <c r="N354" s="431"/>
      <c r="O354" s="432"/>
      <c r="P354" s="520"/>
      <c r="Q354" s="564"/>
      <c r="R354" s="431"/>
      <c r="S354" s="434"/>
      <c r="T354" s="566"/>
      <c r="U354" s="434"/>
      <c r="V354" s="431"/>
      <c r="W354" s="204"/>
      <c r="X354" s="431"/>
      <c r="Y354" s="204"/>
      <c r="Z354" s="431"/>
      <c r="AA354" s="204"/>
      <c r="AB354" s="431"/>
      <c r="AC354" s="204"/>
      <c r="AD354" s="204"/>
      <c r="AE354" s="204"/>
      <c r="AF354" s="204"/>
      <c r="AG354" s="204"/>
      <c r="AH354" s="431"/>
      <c r="AI354" s="204"/>
      <c r="AJ354" s="204"/>
      <c r="AK354" s="432"/>
      <c r="AL354" s="204"/>
      <c r="AM354" s="204"/>
      <c r="AN354" s="204"/>
      <c r="AO354" s="204"/>
      <c r="AP354" s="204"/>
      <c r="AQ354" s="489"/>
      <c r="AR354" s="431"/>
      <c r="AS354" s="431"/>
      <c r="AT354" s="431"/>
      <c r="AU354" s="431"/>
      <c r="AV354" s="431"/>
      <c r="AW354" s="431"/>
      <c r="AX354" s="431"/>
      <c r="AY354" s="242"/>
      <c r="AZ354" s="101"/>
      <c r="BA354" s="431"/>
      <c r="BB354" s="431"/>
      <c r="BC354" s="431"/>
      <c r="BD354" s="431"/>
      <c r="BE354" s="431"/>
      <c r="BF354" s="204"/>
      <c r="BG354" s="204"/>
      <c r="BH354" s="204"/>
      <c r="BI354" s="204"/>
      <c r="BJ354" s="204"/>
      <c r="BK354" s="204"/>
      <c r="BL354" s="204"/>
      <c r="BM354" s="204"/>
      <c r="BN354" s="204"/>
      <c r="BO354" s="204"/>
      <c r="BP354" s="204"/>
      <c r="BQ354" s="204"/>
      <c r="BR354" s="204"/>
      <c r="BS354" s="204"/>
      <c r="BT354" s="204"/>
      <c r="BU354" s="204"/>
      <c r="BV354" s="204"/>
      <c r="BW354" s="204"/>
      <c r="BX354" s="204"/>
      <c r="BY354" s="204"/>
      <c r="BZ354" s="204"/>
      <c r="CA354" s="204"/>
      <c r="CB354" s="204"/>
      <c r="CC354" s="204"/>
      <c r="CD354" s="204"/>
      <c r="CE354" s="204"/>
      <c r="CF354" s="204"/>
      <c r="CG354" s="204"/>
      <c r="CH354" s="204"/>
      <c r="CI354" s="204"/>
      <c r="CJ354" s="104"/>
    </row>
    <row r="355" s="388" customFormat="1" customHeight="1" spans="1:88">
      <c r="A355" s="204"/>
      <c r="B355" s="204"/>
      <c r="C355" s="204"/>
      <c r="D355" s="204"/>
      <c r="E355" s="204"/>
      <c r="F355" s="204"/>
      <c r="G355" s="204"/>
      <c r="H355" s="204"/>
      <c r="I355" s="204"/>
      <c r="J355" s="204"/>
      <c r="K355" s="204"/>
      <c r="L355" s="204"/>
      <c r="M355" s="430"/>
      <c r="N355" s="431"/>
      <c r="O355" s="432"/>
      <c r="P355" s="520"/>
      <c r="Q355" s="564"/>
      <c r="R355" s="431"/>
      <c r="S355" s="434"/>
      <c r="T355" s="566"/>
      <c r="U355" s="434"/>
      <c r="V355" s="431"/>
      <c r="W355" s="204"/>
      <c r="X355" s="431"/>
      <c r="Y355" s="204"/>
      <c r="Z355" s="431"/>
      <c r="AA355" s="204"/>
      <c r="AB355" s="431"/>
      <c r="AC355" s="204"/>
      <c r="AD355" s="204"/>
      <c r="AE355" s="204"/>
      <c r="AF355" s="204"/>
      <c r="AG355" s="204"/>
      <c r="AH355" s="431"/>
      <c r="AI355" s="204"/>
      <c r="AJ355" s="204"/>
      <c r="AK355" s="432"/>
      <c r="AL355" s="204"/>
      <c r="AM355" s="204"/>
      <c r="AN355" s="204"/>
      <c r="AO355" s="204"/>
      <c r="AP355" s="204"/>
      <c r="AQ355" s="489"/>
      <c r="AR355" s="431"/>
      <c r="AS355" s="431"/>
      <c r="AT355" s="431"/>
      <c r="AU355" s="431"/>
      <c r="AV355" s="431"/>
      <c r="AW355" s="431"/>
      <c r="AX355" s="431"/>
      <c r="AY355" s="242"/>
      <c r="AZ355" s="101"/>
      <c r="BA355" s="431"/>
      <c r="BB355" s="431"/>
      <c r="BC355" s="431"/>
      <c r="BD355" s="431"/>
      <c r="BE355" s="431"/>
      <c r="BF355" s="204"/>
      <c r="BG355" s="204"/>
      <c r="BH355" s="204"/>
      <c r="BI355" s="204"/>
      <c r="BJ355" s="204"/>
      <c r="BK355" s="204"/>
      <c r="BL355" s="204"/>
      <c r="BM355" s="204"/>
      <c r="BN355" s="204"/>
      <c r="BO355" s="204"/>
      <c r="BP355" s="204"/>
      <c r="BQ355" s="204"/>
      <c r="BR355" s="204"/>
      <c r="BS355" s="204"/>
      <c r="BT355" s="204"/>
      <c r="BU355" s="204"/>
      <c r="BV355" s="204"/>
      <c r="BW355" s="204"/>
      <c r="BX355" s="204"/>
      <c r="BY355" s="204"/>
      <c r="BZ355" s="204"/>
      <c r="CA355" s="204"/>
      <c r="CB355" s="204"/>
      <c r="CC355" s="204"/>
      <c r="CD355" s="204"/>
      <c r="CE355" s="204"/>
      <c r="CF355" s="204"/>
      <c r="CG355" s="204"/>
      <c r="CH355" s="204"/>
      <c r="CI355" s="204"/>
      <c r="CJ355" s="104"/>
    </row>
  </sheetData>
  <autoFilter xmlns:etc="http://www.wps.cn/officeDocument/2017/etCustomData" ref="A3:CK349" etc:filterBottomFollowUsedRange="0">
    <extLst/>
  </autoFilter>
  <mergeCells count="60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W3:BW4"/>
    <mergeCell ref="BX3:BX4"/>
    <mergeCell ref="BY3:BY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P460"/>
  <sheetViews>
    <sheetView zoomScale="85" zoomScaleNormal="85" workbookViewId="0">
      <pane ySplit="3" topLeftCell="A76" activePane="bottomLeft" state="frozen"/>
      <selection/>
      <selection pane="bottomLeft" activeCell="G86" sqref="G86"/>
    </sheetView>
  </sheetViews>
  <sheetFormatPr defaultColWidth="9" defaultRowHeight="34" customHeight="1"/>
  <cols>
    <col min="1" max="1" width="5.45833333333333" style="238" customWidth="1"/>
    <col min="2" max="2" width="4.875" style="101" customWidth="1"/>
    <col min="3" max="3" width="15.4666666666667" style="101" customWidth="1"/>
    <col min="4" max="4" width="15.15" style="101" customWidth="1"/>
    <col min="5" max="5" width="19.9916666666667" style="101" customWidth="1"/>
    <col min="6" max="6" width="22.9583333333333" style="101" customWidth="1"/>
    <col min="7" max="7" width="42.9416666666667" style="101" customWidth="1"/>
    <col min="8" max="8" width="13.375" style="10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39" customWidth="1"/>
    <col min="14" max="14" width="14.625" style="240" customWidth="1"/>
    <col min="15" max="15" width="21.5583333333333" style="157" customWidth="1"/>
    <col min="16" max="16" width="30.5" style="101" customWidth="1"/>
    <col min="17" max="17" width="14.375" style="241" customWidth="1"/>
    <col min="18" max="18" width="17.25" style="242" customWidth="1"/>
    <col min="19" max="19" width="16" style="243" customWidth="1"/>
    <col min="20" max="20" width="18.7666666666667" style="238" customWidth="1"/>
    <col min="21" max="21" width="16.5583333333333" style="243" customWidth="1"/>
    <col min="22" max="22" width="17.8083333333333" style="242" customWidth="1"/>
    <col min="23" max="23" width="16.25" style="101" customWidth="1"/>
    <col min="24" max="24" width="17.625" style="242" customWidth="1"/>
    <col min="25" max="25" width="16.7166666666667" style="101" customWidth="1"/>
    <col min="26" max="26" width="17.625" style="101" customWidth="1"/>
    <col min="27" max="27" width="15.0166666666667" style="101" customWidth="1"/>
    <col min="28" max="28" width="18.2833333333333" style="242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3.1166666666667" style="101" customWidth="1"/>
    <col min="34" max="34" width="17.3333333333333" style="242" customWidth="1"/>
    <col min="35" max="36" width="6.75" style="101" customWidth="1"/>
    <col min="37" max="37" width="20" style="205" customWidth="1"/>
    <col min="38" max="38" width="15.3083333333333" style="101" hidden="1" customWidth="1"/>
    <col min="39" max="39" width="28.25" style="244" hidden="1" customWidth="1"/>
    <col min="40" max="40" width="17.9416666666667" style="101" hidden="1" customWidth="1"/>
    <col min="41" max="41" width="19.125" style="101" customWidth="1"/>
    <col min="42" max="42" width="16.025" style="158" customWidth="1"/>
    <col min="43" max="43" width="12.6916666666667" style="242" customWidth="1"/>
    <col min="44" max="44" width="14.375" style="242" hidden="1" customWidth="1"/>
    <col min="45" max="45" width="11.6666666666667" style="242" hidden="1" customWidth="1"/>
    <col min="46" max="46" width="16.6666666666667" style="242" hidden="1" customWidth="1"/>
    <col min="47" max="47" width="15.3" style="242" hidden="1" customWidth="1"/>
    <col min="48" max="51" width="17" style="242" hidden="1" customWidth="1"/>
    <col min="52" max="52" width="18.75" style="242" hidden="1" customWidth="1"/>
    <col min="53" max="53" width="15.7833333333333" style="101" hidden="1" customWidth="1"/>
    <col min="54" max="54" width="19.625" style="242" hidden="1" customWidth="1"/>
    <col min="55" max="55" width="17.25" style="101" hidden="1" customWidth="1"/>
    <col min="56" max="80" width="18.5916666666667" style="101" hidden="1" customWidth="1"/>
    <col min="81" max="84" width="18.5916666666667" style="101" customWidth="1"/>
    <col min="85" max="85" width="13.5916666666667" style="101" customWidth="1"/>
    <col min="86" max="86" width="9.53333333333333" style="101" customWidth="1"/>
    <col min="87" max="88" width="9" style="101" customWidth="1"/>
    <col min="89" max="89" width="13.5916666666667" style="101" customWidth="1"/>
    <col min="90" max="90" width="11.5" style="101" customWidth="1"/>
    <col min="91" max="91" width="12.9666666666667" style="101" customWidth="1"/>
    <col min="92" max="92" width="14" style="101" customWidth="1"/>
    <col min="93" max="93" width="11" style="101" customWidth="1"/>
    <col min="94" max="94" width="9.375" style="101"/>
    <col min="95" max="16384" width="9" style="101"/>
  </cols>
  <sheetData>
    <row r="1" s="102" customFormat="1" customHeight="1" spans="1:92">
      <c r="A1" s="110" t="s">
        <v>3184</v>
      </c>
      <c r="J1" s="117"/>
      <c r="M1" s="245"/>
      <c r="N1" s="246"/>
      <c r="O1" s="111"/>
      <c r="Q1" s="124"/>
      <c r="R1" s="115"/>
      <c r="S1" s="120"/>
      <c r="T1" s="110"/>
      <c r="U1" s="120"/>
      <c r="V1" s="115"/>
      <c r="X1" s="115"/>
      <c r="Y1" s="124"/>
      <c r="AB1" s="115"/>
      <c r="AH1" s="115"/>
      <c r="AK1" s="117"/>
      <c r="AM1" s="113"/>
      <c r="AP1" s="247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B1" s="115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</row>
    <row r="2" s="102" customFormat="1" ht="27" customHeight="1" spans="1:92">
      <c r="A2" s="110" t="s">
        <v>38</v>
      </c>
      <c r="B2" s="102" t="s">
        <v>172</v>
      </c>
      <c r="C2" s="113" t="s">
        <v>173</v>
      </c>
      <c r="D2" s="102" t="s">
        <v>174</v>
      </c>
      <c r="F2" s="102" t="s">
        <v>176</v>
      </c>
      <c r="G2" s="102" t="s">
        <v>177</v>
      </c>
      <c r="H2" s="102" t="s">
        <v>175</v>
      </c>
      <c r="I2" s="102" t="s">
        <v>179</v>
      </c>
      <c r="J2" s="114" t="s">
        <v>1145</v>
      </c>
      <c r="K2" s="102" t="s">
        <v>181</v>
      </c>
      <c r="L2" s="102" t="s">
        <v>182</v>
      </c>
      <c r="M2" s="245" t="s">
        <v>183</v>
      </c>
      <c r="N2" s="248" t="s">
        <v>184</v>
      </c>
      <c r="O2" s="111" t="s">
        <v>186</v>
      </c>
      <c r="P2" s="118"/>
      <c r="Q2" s="124"/>
      <c r="R2" s="119" t="s">
        <v>187</v>
      </c>
      <c r="S2" s="120" t="s">
        <v>188</v>
      </c>
      <c r="T2" s="110" t="s">
        <v>189</v>
      </c>
      <c r="U2" s="120" t="s">
        <v>190</v>
      </c>
      <c r="V2" s="115" t="s">
        <v>191</v>
      </c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 t="s">
        <v>192</v>
      </c>
      <c r="AI2" s="113" t="s">
        <v>56</v>
      </c>
      <c r="AJ2" s="113" t="s">
        <v>194</v>
      </c>
      <c r="AK2" s="117" t="s">
        <v>59</v>
      </c>
      <c r="AL2" s="102" t="s">
        <v>195</v>
      </c>
      <c r="AM2" s="113" t="s">
        <v>47</v>
      </c>
      <c r="AN2" s="102" t="s">
        <v>1147</v>
      </c>
      <c r="AO2" s="121" t="s">
        <v>205</v>
      </c>
      <c r="AP2" s="160" t="s">
        <v>206</v>
      </c>
      <c r="AQ2" s="119" t="s">
        <v>196</v>
      </c>
      <c r="AR2" s="249" t="s">
        <v>3185</v>
      </c>
      <c r="AS2" s="249" t="s">
        <v>3186</v>
      </c>
      <c r="AT2" s="249" t="s">
        <v>3187</v>
      </c>
      <c r="AU2" s="249" t="s">
        <v>3188</v>
      </c>
      <c r="AV2" s="249" t="s">
        <v>3189</v>
      </c>
      <c r="AW2" s="249" t="s">
        <v>3190</v>
      </c>
      <c r="AX2" s="249" t="s">
        <v>3191</v>
      </c>
      <c r="AY2" s="249" t="s">
        <v>3192</v>
      </c>
      <c r="AZ2" s="250" t="s">
        <v>3193</v>
      </c>
      <c r="BA2" s="250" t="s">
        <v>3194</v>
      </c>
      <c r="BB2" s="250" t="s">
        <v>3195</v>
      </c>
      <c r="BC2" s="250" t="s">
        <v>3196</v>
      </c>
      <c r="BD2" s="250" t="s">
        <v>3197</v>
      </c>
      <c r="BE2" s="251" t="s">
        <v>3198</v>
      </c>
      <c r="BF2" s="251" t="s">
        <v>3199</v>
      </c>
      <c r="BG2" s="251" t="s">
        <v>3200</v>
      </c>
      <c r="BH2" s="251" t="s">
        <v>3201</v>
      </c>
      <c r="BI2" s="251" t="s">
        <v>3202</v>
      </c>
      <c r="BJ2" s="251" t="s">
        <v>3203</v>
      </c>
      <c r="BK2" s="251" t="s">
        <v>3204</v>
      </c>
      <c r="BL2" s="251" t="s">
        <v>3205</v>
      </c>
      <c r="BM2" s="252" t="s">
        <v>3194</v>
      </c>
      <c r="BN2" s="252" t="s">
        <v>3195</v>
      </c>
      <c r="BO2" s="252" t="s">
        <v>3196</v>
      </c>
      <c r="BP2" s="252" t="s">
        <v>3197</v>
      </c>
      <c r="BQ2" s="252" t="s">
        <v>3206</v>
      </c>
      <c r="BR2" s="252" t="s">
        <v>3207</v>
      </c>
      <c r="BS2" s="252" t="s">
        <v>3208</v>
      </c>
      <c r="BT2" s="252" t="s">
        <v>3209</v>
      </c>
      <c r="BU2" s="252" t="s">
        <v>3210</v>
      </c>
      <c r="BV2" s="252" t="s">
        <v>3211</v>
      </c>
      <c r="BW2" s="252" t="s">
        <v>3212</v>
      </c>
      <c r="BX2" s="252" t="s">
        <v>3213</v>
      </c>
      <c r="BY2" s="252" t="s">
        <v>3214</v>
      </c>
      <c r="BZ2" s="252" t="s">
        <v>3215</v>
      </c>
      <c r="CA2" s="252" t="s">
        <v>3216</v>
      </c>
      <c r="CB2" s="252" t="s">
        <v>3217</v>
      </c>
      <c r="CC2" s="252" t="s">
        <v>3218</v>
      </c>
      <c r="CD2" s="252" t="s">
        <v>3219</v>
      </c>
      <c r="CE2" s="252" t="s">
        <v>3220</v>
      </c>
      <c r="CF2" s="250"/>
      <c r="CG2" s="203" t="s">
        <v>235</v>
      </c>
      <c r="CI2" s="208" t="s">
        <v>108</v>
      </c>
      <c r="CJ2" s="208" t="s">
        <v>236</v>
      </c>
      <c r="CK2" s="208"/>
      <c r="CL2" s="208"/>
      <c r="CM2" s="208"/>
      <c r="CN2" s="208"/>
    </row>
    <row r="3" s="237" customFormat="1" ht="21" customHeight="1" spans="1:92">
      <c r="A3" s="253"/>
      <c r="C3" s="254"/>
      <c r="E3" s="237" t="s">
        <v>1176</v>
      </c>
      <c r="J3" s="255"/>
      <c r="M3" s="256"/>
      <c r="N3" s="257"/>
      <c r="O3" s="258" t="s">
        <v>238</v>
      </c>
      <c r="P3" s="259" t="s">
        <v>1177</v>
      </c>
      <c r="Q3" s="260" t="s">
        <v>1178</v>
      </c>
      <c r="R3" s="261"/>
      <c r="S3" s="262"/>
      <c r="T3" s="253"/>
      <c r="U3" s="262"/>
      <c r="V3" s="261" t="s">
        <v>240</v>
      </c>
      <c r="W3" s="237" t="s">
        <v>241</v>
      </c>
      <c r="X3" s="261" t="s">
        <v>242</v>
      </c>
      <c r="Y3" s="260" t="s">
        <v>241</v>
      </c>
      <c r="Z3" s="237" t="s">
        <v>243</v>
      </c>
      <c r="AA3" s="255" t="s">
        <v>241</v>
      </c>
      <c r="AB3" s="261" t="s">
        <v>244</v>
      </c>
      <c r="AC3" s="237" t="s">
        <v>241</v>
      </c>
      <c r="AD3" s="237" t="s">
        <v>245</v>
      </c>
      <c r="AE3" s="237" t="s">
        <v>241</v>
      </c>
      <c r="AF3" s="237" t="s">
        <v>246</v>
      </c>
      <c r="AG3" s="237" t="s">
        <v>241</v>
      </c>
      <c r="AH3" s="261"/>
      <c r="AJ3" s="254"/>
      <c r="AK3" s="255"/>
      <c r="AM3" s="254"/>
      <c r="AO3" s="263"/>
      <c r="AP3" s="264"/>
      <c r="AQ3" s="265"/>
      <c r="AR3" s="266"/>
      <c r="AS3" s="266"/>
      <c r="AT3" s="266"/>
      <c r="AU3" s="266"/>
      <c r="AV3" s="266"/>
      <c r="AW3" s="266"/>
      <c r="AX3" s="266"/>
      <c r="AY3" s="266"/>
      <c r="AZ3" s="267"/>
      <c r="BA3" s="267"/>
      <c r="BB3" s="267"/>
      <c r="BC3" s="267"/>
      <c r="BD3" s="267"/>
      <c r="BE3" s="268"/>
      <c r="BF3" s="268"/>
      <c r="BG3" s="268"/>
      <c r="BH3" s="268"/>
      <c r="BI3" s="268"/>
      <c r="BJ3" s="268"/>
      <c r="BK3" s="268"/>
      <c r="BL3" s="268"/>
      <c r="BM3" s="269"/>
      <c r="BN3" s="269"/>
      <c r="BO3" s="269"/>
      <c r="BP3" s="269"/>
      <c r="BQ3" s="252"/>
      <c r="BR3" s="252"/>
      <c r="BS3" s="252"/>
      <c r="BT3" s="252"/>
      <c r="BU3" s="252"/>
      <c r="BV3" s="252"/>
      <c r="BW3" s="252"/>
      <c r="BX3" s="252" t="s">
        <v>3213</v>
      </c>
      <c r="BY3" s="252" t="s">
        <v>3213</v>
      </c>
      <c r="BZ3" s="252" t="s">
        <v>3213</v>
      </c>
      <c r="CA3" s="252" t="s">
        <v>3213</v>
      </c>
      <c r="CB3" s="252" t="s">
        <v>3213</v>
      </c>
      <c r="CC3" s="252" t="s">
        <v>3213</v>
      </c>
      <c r="CD3" s="252" t="s">
        <v>3213</v>
      </c>
      <c r="CE3" s="252" t="s">
        <v>3213</v>
      </c>
      <c r="CF3" s="267"/>
      <c r="CG3" s="270"/>
      <c r="CI3" s="271"/>
      <c r="CJ3" s="271"/>
      <c r="CK3" s="272"/>
      <c r="CL3" s="272"/>
      <c r="CM3" s="272"/>
      <c r="CN3" s="272"/>
    </row>
    <row r="4" s="101" customFormat="1" customHeight="1" spans="1:92">
      <c r="A4" s="238"/>
      <c r="C4" s="244"/>
      <c r="I4" s="273" t="s">
        <v>3221</v>
      </c>
      <c r="J4" s="274">
        <v>65.29</v>
      </c>
      <c r="M4" s="239"/>
      <c r="N4" s="242"/>
      <c r="O4" s="157"/>
      <c r="P4" s="275"/>
      <c r="Q4" s="241"/>
      <c r="R4" s="242"/>
      <c r="S4" s="243"/>
      <c r="T4" s="238"/>
      <c r="U4" s="243"/>
      <c r="V4" s="242"/>
      <c r="X4" s="242"/>
      <c r="Y4" s="241"/>
      <c r="AA4" s="205"/>
      <c r="AB4" s="242"/>
      <c r="AH4" s="242">
        <f>V4+X4+Z4+AB4+AD4+AF4</f>
        <v>0</v>
      </c>
      <c r="AK4" s="205"/>
      <c r="AM4" s="244"/>
      <c r="AO4" s="101">
        <f>SUM(AZ4:CF4)</f>
        <v>0</v>
      </c>
      <c r="AP4" s="276">
        <v>0.02</v>
      </c>
      <c r="AQ4" s="277">
        <f>AR4+AS4+AT4+AU4+AV4+AW4+AX4+AY4</f>
        <v>0</v>
      </c>
      <c r="AR4" s="242"/>
      <c r="AS4" s="242"/>
      <c r="AT4" s="242"/>
      <c r="AU4" s="242"/>
      <c r="AV4" s="242"/>
      <c r="AW4" s="242"/>
      <c r="AX4" s="242"/>
      <c r="AY4" s="242"/>
      <c r="AZ4" s="242"/>
      <c r="BB4" s="242"/>
    </row>
    <row r="5" s="101" customFormat="1" customHeight="1" spans="1:92">
      <c r="B5" s="244"/>
      <c r="G5" s="101" t="s">
        <v>3222</v>
      </c>
      <c r="I5" s="278" t="s">
        <v>3223</v>
      </c>
      <c r="J5" s="279">
        <v>17.32</v>
      </c>
      <c r="M5" s="239">
        <v>33254</v>
      </c>
      <c r="N5" s="242">
        <v>33254</v>
      </c>
      <c r="O5" s="157"/>
      <c r="P5" s="275"/>
      <c r="Q5" s="241"/>
      <c r="R5" s="242"/>
      <c r="S5" s="243"/>
      <c r="T5" s="238"/>
      <c r="U5" s="243"/>
      <c r="V5" s="242">
        <v>20000</v>
      </c>
      <c r="W5" s="243" t="s">
        <v>3224</v>
      </c>
      <c r="X5" s="242">
        <v>13254</v>
      </c>
      <c r="Y5" s="243">
        <v>45896</v>
      </c>
      <c r="AA5" s="205"/>
      <c r="AB5" s="242"/>
      <c r="AH5" s="242">
        <f t="shared" ref="AH5:AH68" si="0">V5+X5+Z5+AB5+AD5+AF5</f>
        <v>33254</v>
      </c>
      <c r="AK5" s="205">
        <f>M5-AH5</f>
        <v>0</v>
      </c>
      <c r="AM5" s="244"/>
      <c r="AO5" s="101">
        <f t="shared" ref="AO5:AO68" si="1">SUM(AZ5:CF5)</f>
        <v>33254</v>
      </c>
      <c r="AP5" s="276">
        <v>0.02</v>
      </c>
      <c r="AQ5" s="277">
        <f t="shared" ref="AQ5:AQ68" si="2">AR5+AS5+AT5+AU5+AV5+AW5+AX5+AY5</f>
        <v>0</v>
      </c>
      <c r="AR5" s="242"/>
      <c r="AS5" s="242"/>
      <c r="AT5" s="242"/>
      <c r="AU5" s="242"/>
      <c r="AV5" s="242"/>
      <c r="AW5" s="242"/>
      <c r="AX5" s="242"/>
      <c r="AY5" s="242"/>
      <c r="AZ5" s="242"/>
      <c r="BB5" s="242"/>
      <c r="BX5" s="101">
        <v>33254</v>
      </c>
    </row>
    <row r="6" s="101" customFormat="1" customHeight="1" spans="1:92">
      <c r="C6" s="244"/>
      <c r="I6" s="273" t="s">
        <v>3225</v>
      </c>
      <c r="J6" s="279">
        <v>16.15</v>
      </c>
      <c r="M6" s="239"/>
      <c r="N6" s="242">
        <v>31004</v>
      </c>
      <c r="O6" s="157"/>
      <c r="P6" s="275"/>
      <c r="Q6" s="241"/>
      <c r="R6" s="242"/>
      <c r="S6" s="243"/>
      <c r="T6" s="238"/>
      <c r="U6" s="243"/>
      <c r="V6" s="242"/>
      <c r="X6" s="242"/>
      <c r="Y6" s="241"/>
      <c r="AA6" s="205"/>
      <c r="AB6" s="242"/>
      <c r="AH6" s="242">
        <f t="shared" si="0"/>
        <v>0</v>
      </c>
      <c r="AK6" s="205"/>
      <c r="AM6" s="244"/>
      <c r="AO6" s="101">
        <f t="shared" si="1"/>
        <v>0</v>
      </c>
      <c r="AP6" s="276">
        <v>0.02</v>
      </c>
      <c r="AQ6" s="277">
        <f t="shared" si="2"/>
        <v>0</v>
      </c>
      <c r="AR6" s="242"/>
      <c r="AS6" s="242"/>
      <c r="AT6" s="242"/>
      <c r="AU6" s="242"/>
      <c r="AV6" s="242"/>
      <c r="AW6" s="242"/>
      <c r="AX6" s="242"/>
      <c r="AY6" s="242"/>
      <c r="AZ6" s="242"/>
      <c r="BB6" s="242"/>
    </row>
    <row r="7" s="101" customFormat="1" customHeight="1" spans="1:92">
      <c r="C7" s="244"/>
      <c r="I7" s="280" t="s">
        <v>3226</v>
      </c>
      <c r="J7" s="279">
        <v>74.83</v>
      </c>
      <c r="M7" s="239"/>
      <c r="N7" s="242" t="s">
        <v>3227</v>
      </c>
      <c r="O7" s="157"/>
      <c r="P7" s="275"/>
      <c r="Q7" s="241"/>
      <c r="R7" s="242"/>
      <c r="S7" s="243"/>
      <c r="T7" s="238"/>
      <c r="U7" s="243"/>
      <c r="V7" s="242"/>
      <c r="X7" s="242"/>
      <c r="Y7" s="241"/>
      <c r="AA7" s="205"/>
      <c r="AB7" s="242"/>
      <c r="AH7" s="242">
        <f t="shared" si="0"/>
        <v>0</v>
      </c>
      <c r="AK7" s="205"/>
      <c r="AM7" s="244"/>
      <c r="AO7" s="101">
        <f t="shared" si="1"/>
        <v>0</v>
      </c>
      <c r="AP7" s="276">
        <v>0.02</v>
      </c>
      <c r="AQ7" s="277">
        <f t="shared" si="2"/>
        <v>0</v>
      </c>
      <c r="AR7" s="242"/>
      <c r="AS7" s="242"/>
      <c r="AT7" s="242"/>
      <c r="AU7" s="242"/>
      <c r="AV7" s="242"/>
      <c r="AW7" s="242"/>
      <c r="AX7" s="242"/>
      <c r="AY7" s="242"/>
      <c r="AZ7" s="242"/>
      <c r="BB7" s="242"/>
    </row>
    <row r="8" s="101" customFormat="1" customHeight="1" spans="1:92">
      <c r="C8" s="244"/>
      <c r="I8" s="273" t="s">
        <v>3228</v>
      </c>
      <c r="J8" s="279">
        <v>75.3</v>
      </c>
      <c r="M8" s="239"/>
      <c r="N8" s="242" t="s">
        <v>3227</v>
      </c>
      <c r="O8" s="157"/>
      <c r="P8" s="275"/>
      <c r="Q8" s="241"/>
      <c r="R8" s="242"/>
      <c r="S8" s="243"/>
      <c r="T8" s="238"/>
      <c r="U8" s="243"/>
      <c r="V8" s="242"/>
      <c r="X8" s="242"/>
      <c r="Y8" s="241"/>
      <c r="AA8" s="205"/>
      <c r="AB8" s="242"/>
      <c r="AH8" s="242">
        <f t="shared" si="0"/>
        <v>0</v>
      </c>
      <c r="AK8" s="205"/>
      <c r="AM8" s="244"/>
      <c r="AO8" s="101">
        <f t="shared" si="1"/>
        <v>0</v>
      </c>
      <c r="AP8" s="276">
        <v>0.02</v>
      </c>
      <c r="AQ8" s="277">
        <f t="shared" si="2"/>
        <v>0</v>
      </c>
      <c r="AR8" s="242"/>
      <c r="AS8" s="242"/>
      <c r="AT8" s="242"/>
      <c r="AU8" s="242"/>
      <c r="AV8" s="242"/>
      <c r="AW8" s="242"/>
      <c r="AX8" s="242"/>
      <c r="AY8" s="242"/>
      <c r="AZ8" s="242"/>
      <c r="BB8" s="242"/>
    </row>
    <row r="9" s="101" customFormat="1" customHeight="1" spans="1:92">
      <c r="C9" s="244"/>
      <c r="I9" s="278" t="s">
        <v>3229</v>
      </c>
      <c r="J9" s="279">
        <v>33.95</v>
      </c>
      <c r="M9" s="239"/>
      <c r="N9" s="242">
        <v>65174</v>
      </c>
      <c r="O9" s="157"/>
      <c r="P9" s="275"/>
      <c r="Q9" s="241"/>
      <c r="R9" s="242"/>
      <c r="S9" s="243"/>
      <c r="T9" s="238"/>
      <c r="U9" s="243"/>
      <c r="V9" s="242"/>
      <c r="X9" s="242"/>
      <c r="Y9" s="241"/>
      <c r="AA9" s="205"/>
      <c r="AB9" s="242"/>
      <c r="AH9" s="242">
        <f t="shared" si="0"/>
        <v>0</v>
      </c>
      <c r="AK9" s="205"/>
      <c r="AM9" s="244"/>
      <c r="AO9" s="101">
        <f t="shared" si="1"/>
        <v>0</v>
      </c>
      <c r="AP9" s="276">
        <v>0.02</v>
      </c>
      <c r="AQ9" s="277">
        <f t="shared" si="2"/>
        <v>0</v>
      </c>
      <c r="AR9" s="242"/>
      <c r="AS9" s="242"/>
      <c r="AT9" s="242"/>
      <c r="AU9" s="242"/>
      <c r="AV9" s="242"/>
      <c r="AW9" s="242"/>
      <c r="AX9" s="242"/>
      <c r="AY9" s="242"/>
      <c r="AZ9" s="242"/>
      <c r="BB9" s="242"/>
    </row>
    <row r="10" s="101" customFormat="1" customHeight="1" spans="1:92">
      <c r="C10" s="244"/>
      <c r="G10" s="101" t="s">
        <v>3230</v>
      </c>
      <c r="I10" s="273" t="s">
        <v>3231</v>
      </c>
      <c r="J10" s="279">
        <v>17.32</v>
      </c>
      <c r="M10" s="239">
        <v>33254</v>
      </c>
      <c r="N10" s="242">
        <v>33254</v>
      </c>
      <c r="O10" s="157"/>
      <c r="P10" s="275"/>
      <c r="Q10" s="241"/>
      <c r="R10" s="242"/>
      <c r="S10" s="243"/>
      <c r="T10" s="238"/>
      <c r="U10" s="243"/>
      <c r="V10" s="242">
        <v>33254</v>
      </c>
      <c r="W10" s="243" t="s">
        <v>3232</v>
      </c>
      <c r="X10" s="242"/>
      <c r="Y10" s="241"/>
      <c r="AA10" s="205"/>
      <c r="AB10" s="242"/>
      <c r="AH10" s="242">
        <f t="shared" si="0"/>
        <v>33254</v>
      </c>
      <c r="AK10" s="205">
        <f>M10-AH10</f>
        <v>0</v>
      </c>
      <c r="AM10" s="244"/>
      <c r="AO10" s="101">
        <f t="shared" si="1"/>
        <v>33254</v>
      </c>
      <c r="AP10" s="276">
        <v>0.02</v>
      </c>
      <c r="AQ10" s="277">
        <f t="shared" si="2"/>
        <v>0</v>
      </c>
      <c r="AR10" s="242"/>
      <c r="AS10" s="242"/>
      <c r="AT10" s="242"/>
      <c r="AU10" s="242"/>
      <c r="AV10" s="242"/>
      <c r="AW10" s="242"/>
      <c r="AX10" s="242"/>
      <c r="AY10" s="242"/>
      <c r="AZ10" s="242"/>
      <c r="BB10" s="242"/>
      <c r="BV10" s="101">
        <v>33254</v>
      </c>
    </row>
    <row r="11" s="101" customFormat="1" customHeight="1" spans="1:92">
      <c r="C11" s="244"/>
      <c r="I11" s="273" t="s">
        <v>3233</v>
      </c>
      <c r="J11" s="279">
        <v>17.32</v>
      </c>
      <c r="M11" s="239"/>
      <c r="N11" s="242">
        <v>33254</v>
      </c>
      <c r="O11" s="157"/>
      <c r="P11" s="275"/>
      <c r="Q11" s="241"/>
      <c r="R11" s="242"/>
      <c r="S11" s="243"/>
      <c r="T11" s="238"/>
      <c r="U11" s="243"/>
      <c r="V11" s="242"/>
      <c r="X11" s="242"/>
      <c r="Y11" s="241"/>
      <c r="AA11" s="205"/>
      <c r="AB11" s="242"/>
      <c r="AH11" s="242">
        <f t="shared" si="0"/>
        <v>0</v>
      </c>
      <c r="AK11" s="205"/>
      <c r="AM11" s="244"/>
      <c r="AO11" s="101">
        <f t="shared" si="1"/>
        <v>0</v>
      </c>
      <c r="AP11" s="276">
        <v>0.02</v>
      </c>
      <c r="AQ11" s="277">
        <f t="shared" si="2"/>
        <v>0</v>
      </c>
      <c r="AR11" s="242"/>
      <c r="AS11" s="242"/>
      <c r="AT11" s="242"/>
      <c r="AU11" s="242"/>
      <c r="AV11" s="242"/>
      <c r="AW11" s="242"/>
      <c r="AX11" s="242"/>
      <c r="AY11" s="242"/>
      <c r="AZ11" s="242"/>
      <c r="BB11" s="242"/>
    </row>
    <row r="12" s="101" customFormat="1" customHeight="1" spans="1:92">
      <c r="C12" s="244"/>
      <c r="I12" s="278" t="s">
        <v>3234</v>
      </c>
      <c r="J12" s="279">
        <v>33.95</v>
      </c>
      <c r="M12" s="239"/>
      <c r="N12" s="242">
        <v>65174</v>
      </c>
      <c r="O12" s="157"/>
      <c r="P12" s="275"/>
      <c r="Q12" s="241"/>
      <c r="R12" s="242"/>
      <c r="S12" s="243"/>
      <c r="T12" s="238"/>
      <c r="U12" s="243"/>
      <c r="V12" s="242"/>
      <c r="X12" s="242"/>
      <c r="Y12" s="241"/>
      <c r="AA12" s="205"/>
      <c r="AB12" s="242"/>
      <c r="AH12" s="242">
        <f t="shared" si="0"/>
        <v>0</v>
      </c>
      <c r="AK12" s="205"/>
      <c r="AM12" s="244"/>
      <c r="AO12" s="101">
        <f t="shared" si="1"/>
        <v>0</v>
      </c>
      <c r="AP12" s="276">
        <v>0.02</v>
      </c>
      <c r="AQ12" s="277">
        <f t="shared" si="2"/>
        <v>0</v>
      </c>
      <c r="AR12" s="242"/>
      <c r="AS12" s="242"/>
      <c r="AT12" s="242"/>
      <c r="AU12" s="242"/>
      <c r="AV12" s="242"/>
      <c r="AW12" s="242"/>
      <c r="AX12" s="242"/>
      <c r="AY12" s="242"/>
      <c r="AZ12" s="242"/>
      <c r="BB12" s="242"/>
    </row>
    <row r="13" s="101" customFormat="1" customHeight="1" spans="1:92">
      <c r="C13" s="244"/>
      <c r="I13" s="273" t="s">
        <v>3235</v>
      </c>
      <c r="J13" s="279">
        <v>75.3</v>
      </c>
      <c r="M13" s="239"/>
      <c r="N13" s="242" t="s">
        <v>3227</v>
      </c>
      <c r="O13" s="157"/>
      <c r="P13" s="275"/>
      <c r="Q13" s="241"/>
      <c r="R13" s="242"/>
      <c r="S13" s="243"/>
      <c r="T13" s="238"/>
      <c r="U13" s="243"/>
      <c r="V13" s="242"/>
      <c r="X13" s="242"/>
      <c r="Y13" s="241"/>
      <c r="AA13" s="205"/>
      <c r="AB13" s="242"/>
      <c r="AH13" s="242">
        <f t="shared" si="0"/>
        <v>0</v>
      </c>
      <c r="AK13" s="205"/>
      <c r="AM13" s="244"/>
      <c r="AO13" s="101">
        <f t="shared" si="1"/>
        <v>0</v>
      </c>
      <c r="AP13" s="276">
        <v>0.02</v>
      </c>
      <c r="AQ13" s="277">
        <f t="shared" si="2"/>
        <v>0</v>
      </c>
      <c r="AR13" s="242"/>
      <c r="AS13" s="242"/>
      <c r="AT13" s="242"/>
      <c r="AU13" s="242"/>
      <c r="AV13" s="242"/>
      <c r="AW13" s="242"/>
      <c r="AX13" s="242"/>
      <c r="AY13" s="242"/>
      <c r="AZ13" s="242"/>
      <c r="BB13" s="242"/>
    </row>
    <row r="14" s="101" customFormat="1" customHeight="1" spans="1:92">
      <c r="C14" s="244"/>
      <c r="I14" s="278" t="s">
        <v>3236</v>
      </c>
      <c r="J14" s="279">
        <v>74.83</v>
      </c>
      <c r="M14" s="239"/>
      <c r="N14" s="242" t="s">
        <v>3227</v>
      </c>
      <c r="O14" s="157"/>
      <c r="P14" s="275"/>
      <c r="Q14" s="241"/>
      <c r="R14" s="242"/>
      <c r="S14" s="243"/>
      <c r="T14" s="238"/>
      <c r="U14" s="243"/>
      <c r="V14" s="242"/>
      <c r="X14" s="242"/>
      <c r="Y14" s="241"/>
      <c r="AA14" s="205"/>
      <c r="AB14" s="242"/>
      <c r="AH14" s="242">
        <f t="shared" si="0"/>
        <v>0</v>
      </c>
      <c r="AK14" s="205"/>
      <c r="AM14" s="244"/>
      <c r="AO14" s="101">
        <f t="shared" si="1"/>
        <v>0</v>
      </c>
      <c r="AP14" s="276">
        <v>0.02</v>
      </c>
      <c r="AQ14" s="277">
        <f t="shared" si="2"/>
        <v>0</v>
      </c>
      <c r="AR14" s="242"/>
      <c r="AS14" s="242"/>
      <c r="AT14" s="242"/>
      <c r="AU14" s="242"/>
      <c r="AV14" s="242"/>
      <c r="AW14" s="242"/>
      <c r="AX14" s="242"/>
      <c r="AY14" s="242"/>
      <c r="AZ14" s="242"/>
      <c r="BB14" s="242"/>
    </row>
    <row r="15" s="101" customFormat="1" customHeight="1" spans="1:92">
      <c r="C15" s="244"/>
      <c r="G15" s="101" t="s">
        <v>3237</v>
      </c>
      <c r="I15" s="273" t="s">
        <v>3238</v>
      </c>
      <c r="J15" s="279">
        <v>16.15</v>
      </c>
      <c r="M15" s="239">
        <v>31004</v>
      </c>
      <c r="N15" s="242">
        <v>31004</v>
      </c>
      <c r="O15" s="157"/>
      <c r="P15" s="275"/>
      <c r="Q15" s="241"/>
      <c r="R15" s="242"/>
      <c r="S15" s="243"/>
      <c r="T15" s="238"/>
      <c r="U15" s="243"/>
      <c r="V15" s="242">
        <v>2000</v>
      </c>
      <c r="W15" s="243" t="s">
        <v>3239</v>
      </c>
      <c r="X15" s="242">
        <v>29004</v>
      </c>
      <c r="Y15" s="243" t="s">
        <v>795</v>
      </c>
      <c r="AA15" s="205"/>
      <c r="AB15" s="242"/>
      <c r="AH15" s="242">
        <f t="shared" si="0"/>
        <v>31004</v>
      </c>
      <c r="AK15" s="205">
        <f>M15-AH15</f>
        <v>0</v>
      </c>
      <c r="AM15" s="244"/>
      <c r="AO15" s="101">
        <f t="shared" si="1"/>
        <v>31004</v>
      </c>
      <c r="AP15" s="276">
        <v>0.02</v>
      </c>
      <c r="AQ15" s="277">
        <f t="shared" si="2"/>
        <v>0</v>
      </c>
      <c r="AR15" s="242"/>
      <c r="AS15" s="242"/>
      <c r="AT15" s="242"/>
      <c r="AU15" s="242"/>
      <c r="AV15" s="242"/>
      <c r="AW15" s="242"/>
      <c r="AX15" s="242"/>
      <c r="AY15" s="242"/>
      <c r="AZ15" s="242"/>
      <c r="BB15" s="242"/>
      <c r="BU15" s="101">
        <v>31004</v>
      </c>
    </row>
    <row r="16" s="101" customFormat="1" customHeight="1" spans="1:92">
      <c r="C16" s="244"/>
      <c r="G16" s="101" t="s">
        <v>3240</v>
      </c>
      <c r="I16" s="278" t="s">
        <v>3241</v>
      </c>
      <c r="J16" s="279">
        <v>17.32</v>
      </c>
      <c r="M16" s="239">
        <v>33254</v>
      </c>
      <c r="N16" s="242">
        <v>33254</v>
      </c>
      <c r="O16" s="157"/>
      <c r="P16" s="275"/>
      <c r="Q16" s="241"/>
      <c r="R16" s="242"/>
      <c r="S16" s="243"/>
      <c r="T16" s="238"/>
      <c r="U16" s="243" t="s">
        <v>277</v>
      </c>
      <c r="V16" s="242">
        <v>3254</v>
      </c>
      <c r="W16" s="243" t="s">
        <v>3242</v>
      </c>
      <c r="X16" s="242">
        <v>30000</v>
      </c>
      <c r="Y16" s="243">
        <v>45964</v>
      </c>
      <c r="AA16" s="205"/>
      <c r="AB16" s="242"/>
      <c r="AH16" s="242">
        <f t="shared" si="0"/>
        <v>33254</v>
      </c>
      <c r="AK16" s="205">
        <f>M16-AH16</f>
        <v>0</v>
      </c>
      <c r="AM16" s="244"/>
      <c r="AO16" s="101">
        <f t="shared" si="1"/>
        <v>33254</v>
      </c>
      <c r="AP16" s="276">
        <v>0.02</v>
      </c>
      <c r="AQ16" s="277">
        <f t="shared" si="2"/>
        <v>0</v>
      </c>
      <c r="AR16" s="242"/>
      <c r="AS16" s="242"/>
      <c r="AT16" s="242"/>
      <c r="AU16" s="242"/>
      <c r="AV16" s="242"/>
      <c r="AW16" s="242"/>
      <c r="AX16" s="242"/>
      <c r="AY16" s="242"/>
      <c r="AZ16" s="242"/>
      <c r="BB16" s="242"/>
      <c r="CA16" s="101">
        <v>33254</v>
      </c>
    </row>
    <row r="17" s="101" customFormat="1" customHeight="1" spans="1:89">
      <c r="C17" s="244"/>
      <c r="I17" s="273" t="s">
        <v>3243</v>
      </c>
      <c r="J17" s="279">
        <v>17.32</v>
      </c>
      <c r="M17" s="239"/>
      <c r="N17" s="242">
        <v>33254</v>
      </c>
      <c r="O17" s="157"/>
      <c r="P17" s="275"/>
      <c r="Q17" s="241"/>
      <c r="R17" s="242"/>
      <c r="S17" s="243"/>
      <c r="T17" s="238"/>
      <c r="U17" s="243"/>
      <c r="V17" s="242"/>
      <c r="X17" s="242"/>
      <c r="Y17" s="241"/>
      <c r="AA17" s="205"/>
      <c r="AB17" s="242"/>
      <c r="AH17" s="242">
        <f t="shared" si="0"/>
        <v>0</v>
      </c>
      <c r="AK17" s="205"/>
      <c r="AM17" s="244"/>
      <c r="AO17" s="101">
        <f t="shared" si="1"/>
        <v>0</v>
      </c>
      <c r="AP17" s="276">
        <v>0.02</v>
      </c>
      <c r="AQ17" s="277">
        <f t="shared" si="2"/>
        <v>0</v>
      </c>
      <c r="AR17" s="242"/>
      <c r="AS17" s="242"/>
      <c r="AT17" s="242"/>
      <c r="AU17" s="242"/>
      <c r="AV17" s="242"/>
      <c r="AW17" s="242"/>
      <c r="AX17" s="242"/>
      <c r="AY17" s="242"/>
      <c r="AZ17" s="242"/>
      <c r="BB17" s="242"/>
    </row>
    <row r="18" s="101" customFormat="1" customHeight="1" spans="1:89">
      <c r="C18" s="244"/>
      <c r="I18" s="273" t="s">
        <v>3244</v>
      </c>
      <c r="J18" s="279">
        <v>52.97</v>
      </c>
      <c r="M18" s="239"/>
      <c r="N18" s="242" t="s">
        <v>3227</v>
      </c>
      <c r="O18" s="157"/>
      <c r="P18" s="275"/>
      <c r="Q18" s="241"/>
      <c r="R18" s="242"/>
      <c r="S18" s="243"/>
      <c r="T18" s="238"/>
      <c r="U18" s="243"/>
      <c r="V18" s="242"/>
      <c r="X18" s="242"/>
      <c r="Y18" s="241"/>
      <c r="AA18" s="205"/>
      <c r="AB18" s="242"/>
      <c r="AH18" s="242">
        <f t="shared" si="0"/>
        <v>0</v>
      </c>
      <c r="AK18" s="205"/>
      <c r="AM18" s="244"/>
      <c r="AO18" s="101">
        <f t="shared" si="1"/>
        <v>0</v>
      </c>
      <c r="AP18" s="276">
        <v>0.02</v>
      </c>
      <c r="AQ18" s="277">
        <f t="shared" si="2"/>
        <v>0</v>
      </c>
      <c r="AR18" s="242"/>
      <c r="AS18" s="242"/>
      <c r="AT18" s="242"/>
      <c r="AU18" s="242"/>
      <c r="AV18" s="242"/>
      <c r="AW18" s="242"/>
      <c r="AX18" s="242"/>
      <c r="AY18" s="242"/>
      <c r="AZ18" s="242"/>
      <c r="BB18" s="242"/>
    </row>
    <row r="19" s="101" customFormat="1" customHeight="1" spans="1:89">
      <c r="C19" s="244"/>
      <c r="I19" s="273" t="s">
        <v>3245</v>
      </c>
      <c r="J19" s="279">
        <v>71.81</v>
      </c>
      <c r="M19" s="239"/>
      <c r="N19" s="242" t="s">
        <v>3227</v>
      </c>
      <c r="O19" s="157"/>
      <c r="P19" s="275"/>
      <c r="Q19" s="241"/>
      <c r="R19" s="242"/>
      <c r="S19" s="243"/>
      <c r="T19" s="238"/>
      <c r="U19" s="243"/>
      <c r="V19" s="242"/>
      <c r="X19" s="242"/>
      <c r="Y19" s="241"/>
      <c r="AA19" s="205"/>
      <c r="AB19" s="242"/>
      <c r="AH19" s="242">
        <f t="shared" si="0"/>
        <v>0</v>
      </c>
      <c r="AK19" s="205"/>
      <c r="AM19" s="244"/>
      <c r="AO19" s="101">
        <f t="shared" si="1"/>
        <v>0</v>
      </c>
      <c r="AP19" s="276">
        <v>0.02</v>
      </c>
      <c r="AQ19" s="277">
        <f t="shared" si="2"/>
        <v>0</v>
      </c>
      <c r="AR19" s="242"/>
      <c r="AS19" s="242"/>
      <c r="AT19" s="242"/>
      <c r="AU19" s="242"/>
      <c r="AV19" s="242"/>
      <c r="AW19" s="242"/>
      <c r="AX19" s="242"/>
      <c r="AY19" s="242"/>
      <c r="AZ19" s="242"/>
      <c r="BB19" s="242"/>
    </row>
    <row r="20" s="101" customFormat="1" customHeight="1" spans="1:89">
      <c r="A20" s="238">
        <v>1</v>
      </c>
      <c r="C20" s="244"/>
      <c r="I20" s="278" t="s">
        <v>3246</v>
      </c>
      <c r="J20" s="101">
        <v>119.34</v>
      </c>
      <c r="M20" s="239"/>
      <c r="N20" s="242">
        <v>7942.5</v>
      </c>
      <c r="O20" s="157"/>
      <c r="P20" s="275"/>
      <c r="Q20" s="241"/>
      <c r="R20" s="242"/>
      <c r="S20" s="243"/>
      <c r="T20" s="238"/>
      <c r="U20" s="243"/>
      <c r="V20" s="242"/>
      <c r="W20" s="243"/>
      <c r="X20" s="242"/>
      <c r="Y20" s="241"/>
      <c r="AA20" s="205"/>
      <c r="AB20" s="242"/>
      <c r="AH20" s="242">
        <f t="shared" si="0"/>
        <v>0</v>
      </c>
      <c r="AK20" s="205"/>
      <c r="AM20" s="244"/>
      <c r="AO20" s="101">
        <f t="shared" si="1"/>
        <v>0</v>
      </c>
      <c r="AP20" s="276"/>
      <c r="AQ20" s="277">
        <f t="shared" si="2"/>
        <v>0</v>
      </c>
      <c r="AR20" s="242"/>
      <c r="AS20" s="242"/>
      <c r="AT20" s="242"/>
      <c r="AU20" s="242"/>
      <c r="AV20" s="242"/>
      <c r="AW20" s="242"/>
      <c r="AX20" s="242"/>
      <c r="AY20" s="242"/>
      <c r="AZ20" s="242"/>
      <c r="BB20" s="242"/>
    </row>
    <row r="21" s="125" customFormat="1" customHeight="1" spans="1:89">
      <c r="A21" s="174">
        <v>2</v>
      </c>
      <c r="B21" s="125"/>
      <c r="C21" s="184">
        <v>45566</v>
      </c>
      <c r="D21" s="125">
        <v>20240005461</v>
      </c>
      <c r="F21" s="1037" t="s">
        <v>3247</v>
      </c>
      <c r="G21" s="125" t="s">
        <v>3248</v>
      </c>
      <c r="H21" s="1037" t="s">
        <v>3249</v>
      </c>
      <c r="I21" s="281" t="s">
        <v>3250</v>
      </c>
      <c r="J21" s="125">
        <v>119.19</v>
      </c>
      <c r="K21" s="125">
        <v>119.19</v>
      </c>
      <c r="L21" s="174">
        <v>8226.31</v>
      </c>
      <c r="M21" s="282">
        <v>980494</v>
      </c>
      <c r="N21" s="223">
        <v>8226.31</v>
      </c>
      <c r="O21" s="165">
        <v>899535.78</v>
      </c>
      <c r="P21" s="1038" t="s">
        <v>3251</v>
      </c>
      <c r="Q21" s="210">
        <v>45855</v>
      </c>
      <c r="R21" s="223"/>
      <c r="S21" s="224"/>
      <c r="T21" s="174"/>
      <c r="U21" s="224" t="s">
        <v>656</v>
      </c>
      <c r="V21" s="223">
        <v>20000</v>
      </c>
      <c r="W21" s="224">
        <v>45536</v>
      </c>
      <c r="X21" s="223">
        <v>380000</v>
      </c>
      <c r="Y21" s="224" t="s">
        <v>859</v>
      </c>
      <c r="Z21" s="223">
        <v>580000</v>
      </c>
      <c r="AA21" s="224" t="s">
        <v>358</v>
      </c>
      <c r="AB21" s="223">
        <v>494</v>
      </c>
      <c r="AC21" s="224" t="s">
        <v>3252</v>
      </c>
      <c r="AH21" s="223">
        <f t="shared" si="0"/>
        <v>980494</v>
      </c>
      <c r="AK21" s="171">
        <f>M21-AH21</f>
        <v>0</v>
      </c>
      <c r="AL21" s="125">
        <v>13899014069</v>
      </c>
      <c r="AM21" s="175"/>
      <c r="AO21" s="125">
        <f t="shared" si="1"/>
        <v>980000</v>
      </c>
      <c r="AP21" s="169">
        <f>0.5%+0.04%+0.1%</f>
        <v>0.0064</v>
      </c>
      <c r="AQ21" s="283">
        <f t="shared" si="2"/>
        <v>0</v>
      </c>
      <c r="AR21" s="223"/>
      <c r="AS21" s="223"/>
      <c r="AT21" s="223"/>
      <c r="AU21" s="223"/>
      <c r="AV21" s="223"/>
      <c r="AW21" s="223"/>
      <c r="AX21" s="223"/>
      <c r="AY21" s="223"/>
      <c r="AZ21" s="223"/>
      <c r="BB21" s="223"/>
      <c r="BN21" s="125">
        <v>400000</v>
      </c>
      <c r="BO21" s="125">
        <v>580000</v>
      </c>
      <c r="CI21" s="125" t="s">
        <v>260</v>
      </c>
      <c r="CK21" s="125" t="s">
        <v>261</v>
      </c>
    </row>
    <row r="22" s="125" customFormat="1" customHeight="1" spans="1:89">
      <c r="A22" s="174">
        <v>3</v>
      </c>
      <c r="C22" s="184">
        <v>46020</v>
      </c>
      <c r="D22" s="125">
        <v>20250006748</v>
      </c>
      <c r="E22" s="125" t="s">
        <v>3253</v>
      </c>
      <c r="F22" s="1037" t="s">
        <v>3254</v>
      </c>
      <c r="G22" s="125" t="s">
        <v>3255</v>
      </c>
      <c r="I22" s="284" t="s">
        <v>3256</v>
      </c>
      <c r="J22" s="125">
        <v>117.97</v>
      </c>
      <c r="K22" s="125">
        <v>117.97</v>
      </c>
      <c r="L22" s="125">
        <v>4958.89</v>
      </c>
      <c r="M22" s="282">
        <v>585000</v>
      </c>
      <c r="N22" s="223">
        <v>5395.6</v>
      </c>
      <c r="O22" s="165">
        <v>536697.25</v>
      </c>
      <c r="P22" s="1038" t="s">
        <v>3257</v>
      </c>
      <c r="Q22" s="210">
        <v>46027</v>
      </c>
      <c r="R22" s="223"/>
      <c r="S22" s="224"/>
      <c r="T22" s="174"/>
      <c r="U22" s="224"/>
      <c r="V22" s="223">
        <v>275895.27</v>
      </c>
      <c r="W22" s="224">
        <v>45925</v>
      </c>
      <c r="X22" s="223">
        <v>120000</v>
      </c>
      <c r="Y22" s="224">
        <v>46020</v>
      </c>
      <c r="Z22" s="125">
        <v>465000</v>
      </c>
      <c r="AA22" s="224">
        <v>46042</v>
      </c>
      <c r="AB22" s="223">
        <v>-275895.27</v>
      </c>
      <c r="AC22" s="168">
        <v>46085</v>
      </c>
      <c r="AH22" s="223">
        <f t="shared" si="0"/>
        <v>585000</v>
      </c>
      <c r="AK22" s="171">
        <f>M22-AH22</f>
        <v>0</v>
      </c>
      <c r="AL22" s="125">
        <v>19690184444</v>
      </c>
      <c r="AM22" s="175"/>
      <c r="AO22" s="125">
        <f t="shared" si="1"/>
        <v>0</v>
      </c>
      <c r="AP22" s="169"/>
      <c r="AQ22" s="283">
        <f t="shared" si="2"/>
        <v>0</v>
      </c>
      <c r="AR22" s="223"/>
      <c r="AS22" s="223"/>
      <c r="AT22" s="223"/>
      <c r="AU22" s="223"/>
      <c r="AV22" s="223"/>
      <c r="AW22" s="223"/>
      <c r="AX22" s="223"/>
      <c r="AY22" s="223"/>
      <c r="AZ22" s="223"/>
      <c r="BB22" s="223"/>
      <c r="CI22" s="125" t="s">
        <v>3258</v>
      </c>
      <c r="CK22" s="125" t="s">
        <v>261</v>
      </c>
    </row>
    <row r="23" s="125" customFormat="1" customHeight="1" spans="1:89">
      <c r="A23" s="174">
        <v>4</v>
      </c>
      <c r="C23" s="184">
        <v>45568</v>
      </c>
      <c r="D23" s="125">
        <v>20240005733</v>
      </c>
      <c r="F23" s="1037" t="s">
        <v>3259</v>
      </c>
      <c r="G23" s="125" t="s">
        <v>3260</v>
      </c>
      <c r="H23" s="1037" t="s">
        <v>3261</v>
      </c>
      <c r="I23" s="281" t="s">
        <v>3262</v>
      </c>
      <c r="J23" s="125">
        <v>117.6</v>
      </c>
      <c r="K23" s="125">
        <v>117.6</v>
      </c>
      <c r="L23" s="174">
        <v>5410.92</v>
      </c>
      <c r="M23" s="282">
        <v>636324</v>
      </c>
      <c r="N23" s="285">
        <v>5410.92</v>
      </c>
      <c r="O23" s="165">
        <v>583783.49</v>
      </c>
      <c r="P23" s="1038" t="s">
        <v>3263</v>
      </c>
      <c r="Q23" s="210">
        <v>45855</v>
      </c>
      <c r="R23" s="223"/>
      <c r="S23" s="224"/>
      <c r="T23" s="174"/>
      <c r="U23" s="224" t="s">
        <v>294</v>
      </c>
      <c r="V23" s="223">
        <v>20000</v>
      </c>
      <c r="W23" s="224" t="s">
        <v>503</v>
      </c>
      <c r="X23" s="223">
        <v>72000</v>
      </c>
      <c r="Y23" s="224">
        <v>45550</v>
      </c>
      <c r="Z23" s="223">
        <v>16000</v>
      </c>
      <c r="AA23" s="224" t="s">
        <v>3264</v>
      </c>
      <c r="AB23" s="223">
        <v>10000</v>
      </c>
      <c r="AC23" s="224" t="s">
        <v>429</v>
      </c>
      <c r="AD23" s="125">
        <v>508000</v>
      </c>
      <c r="AE23" s="125" t="s">
        <v>3265</v>
      </c>
      <c r="AF23" s="223">
        <f>324+10000</f>
        <v>10324</v>
      </c>
      <c r="AG23" s="224" t="s">
        <v>541</v>
      </c>
      <c r="AH23" s="223">
        <f t="shared" si="0"/>
        <v>636324</v>
      </c>
      <c r="AK23" s="171">
        <f t="shared" ref="AK23:AK29" si="3">M23-AH23</f>
        <v>0</v>
      </c>
      <c r="AL23" s="125">
        <v>13279972119</v>
      </c>
      <c r="AM23" s="175" t="s">
        <v>3266</v>
      </c>
      <c r="AO23" s="125">
        <f t="shared" si="1"/>
        <v>636000</v>
      </c>
      <c r="AP23" s="169">
        <f>0.7%+0.08%</f>
        <v>0.0078</v>
      </c>
      <c r="AQ23" s="283">
        <f t="shared" si="2"/>
        <v>0</v>
      </c>
      <c r="AR23" s="223"/>
      <c r="AS23" s="223"/>
      <c r="AT23" s="223"/>
      <c r="AU23" s="223"/>
      <c r="AV23" s="223"/>
      <c r="AW23" s="223"/>
      <c r="AX23" s="223"/>
      <c r="AY23" s="223"/>
      <c r="AZ23" s="223"/>
      <c r="BB23" s="223"/>
      <c r="BQ23" s="125">
        <v>636000</v>
      </c>
      <c r="CI23" s="125" t="s">
        <v>260</v>
      </c>
      <c r="CK23" s="125" t="s">
        <v>261</v>
      </c>
    </row>
    <row r="24" s="125" customFormat="1" customHeight="1" spans="1:89">
      <c r="A24" s="174">
        <v>5</v>
      </c>
      <c r="C24" s="184">
        <v>45483</v>
      </c>
      <c r="D24" s="125">
        <v>20240003958</v>
      </c>
      <c r="F24" s="1037" t="s">
        <v>3267</v>
      </c>
      <c r="G24" s="125" t="s">
        <v>3268</v>
      </c>
      <c r="H24" s="1037" t="s">
        <v>3269</v>
      </c>
      <c r="I24" s="284" t="s">
        <v>3270</v>
      </c>
      <c r="J24" s="125">
        <v>117.97</v>
      </c>
      <c r="K24" s="125">
        <v>117.97</v>
      </c>
      <c r="L24" s="125">
        <v>5784</v>
      </c>
      <c r="M24" s="282">
        <v>682347</v>
      </c>
      <c r="N24" s="283">
        <v>5784.07</v>
      </c>
      <c r="O24" s="165">
        <v>626006.42</v>
      </c>
      <c r="P24" s="1038" t="s">
        <v>3271</v>
      </c>
      <c r="Q24" s="210">
        <v>45855</v>
      </c>
      <c r="R24" s="223"/>
      <c r="S24" s="224"/>
      <c r="T24" s="174"/>
      <c r="U24" s="224" t="s">
        <v>561</v>
      </c>
      <c r="V24" s="223">
        <v>10000</v>
      </c>
      <c r="W24" s="224" t="s">
        <v>3272</v>
      </c>
      <c r="X24" s="223">
        <v>200000</v>
      </c>
      <c r="Y24" s="224" t="s">
        <v>3273</v>
      </c>
      <c r="Z24" s="223">
        <v>472000</v>
      </c>
      <c r="AA24" s="224" t="s">
        <v>3274</v>
      </c>
      <c r="AB24" s="223">
        <v>347</v>
      </c>
      <c r="AC24" s="224" t="s">
        <v>3275</v>
      </c>
      <c r="AH24" s="223">
        <f t="shared" si="0"/>
        <v>682347</v>
      </c>
      <c r="AK24" s="171">
        <f t="shared" si="3"/>
        <v>0</v>
      </c>
      <c r="AL24" s="125">
        <v>17789135370</v>
      </c>
      <c r="AM24" s="175"/>
      <c r="AO24" s="125">
        <f t="shared" si="1"/>
        <v>682000</v>
      </c>
      <c r="AP24" s="169">
        <f>0.7%+0.02%+0.08%</f>
        <v>0.008</v>
      </c>
      <c r="AQ24" s="283">
        <f t="shared" si="2"/>
        <v>0</v>
      </c>
      <c r="AR24" s="223"/>
      <c r="AS24" s="223"/>
      <c r="AT24" s="223"/>
      <c r="AU24" s="223"/>
      <c r="AV24" s="223"/>
      <c r="AW24" s="223"/>
      <c r="AX24" s="223"/>
      <c r="AY24" s="223"/>
      <c r="AZ24" s="223"/>
      <c r="BB24" s="223"/>
      <c r="BK24" s="125">
        <v>210000</v>
      </c>
      <c r="BL24" s="125">
        <v>472000</v>
      </c>
      <c r="CI24" s="125" t="s">
        <v>260</v>
      </c>
      <c r="CK24" s="125" t="s">
        <v>261</v>
      </c>
    </row>
    <row r="25" s="125" customFormat="1" customHeight="1" spans="1:89">
      <c r="A25" s="174">
        <v>6</v>
      </c>
      <c r="B25" s="125"/>
      <c r="C25" s="184">
        <v>45631</v>
      </c>
      <c r="D25" s="125">
        <v>20240006995</v>
      </c>
      <c r="F25" s="1037" t="s">
        <v>3276</v>
      </c>
      <c r="G25" s="125" t="s">
        <v>3277</v>
      </c>
      <c r="H25" s="1037" t="s">
        <v>3278</v>
      </c>
      <c r="I25" s="281" t="s">
        <v>3279</v>
      </c>
      <c r="J25" s="125">
        <v>117.6</v>
      </c>
      <c r="K25" s="125">
        <v>117.6</v>
      </c>
      <c r="L25" s="125">
        <v>5600</v>
      </c>
      <c r="M25" s="282">
        <v>658560</v>
      </c>
      <c r="N25" s="223">
        <v>5815.88</v>
      </c>
      <c r="O25" s="165">
        <v>604183.49</v>
      </c>
      <c r="P25" s="1038" t="s">
        <v>3280</v>
      </c>
      <c r="Q25" s="210">
        <v>45855</v>
      </c>
      <c r="R25" s="223"/>
      <c r="S25" s="224"/>
      <c r="T25" s="174"/>
      <c r="U25" s="224" t="s">
        <v>2160</v>
      </c>
      <c r="V25" s="223">
        <f>79224+20000</f>
        <v>99224</v>
      </c>
      <c r="W25" s="224" t="s">
        <v>3281</v>
      </c>
      <c r="X25" s="223">
        <v>559000</v>
      </c>
      <c r="Y25" s="210" t="s">
        <v>3282</v>
      </c>
      <c r="Z25" s="223">
        <v>336</v>
      </c>
      <c r="AA25" s="224" t="s">
        <v>3283</v>
      </c>
      <c r="AB25" s="223"/>
      <c r="AH25" s="223">
        <f t="shared" si="0"/>
        <v>658560</v>
      </c>
      <c r="AK25" s="171">
        <f t="shared" si="3"/>
        <v>0</v>
      </c>
      <c r="AL25" s="125">
        <v>18167700911</v>
      </c>
      <c r="AM25" s="175" t="s">
        <v>3284</v>
      </c>
      <c r="AO25" s="125">
        <f t="shared" si="1"/>
        <v>658224</v>
      </c>
      <c r="AP25" s="169">
        <f>0.4%+0.05%+0.12%+0.03%</f>
        <v>0.006</v>
      </c>
      <c r="AQ25" s="283">
        <f t="shared" si="2"/>
        <v>0</v>
      </c>
      <c r="AR25" s="223"/>
      <c r="AS25" s="223"/>
      <c r="AT25" s="223"/>
      <c r="AU25" s="223"/>
      <c r="AV25" s="223"/>
      <c r="AW25" s="223"/>
      <c r="AX25" s="223"/>
      <c r="AY25" s="223"/>
      <c r="AZ25" s="223"/>
      <c r="BB25" s="223"/>
      <c r="BP25" s="125">
        <v>658224</v>
      </c>
      <c r="CI25" s="125" t="s">
        <v>260</v>
      </c>
      <c r="CK25" s="125" t="s">
        <v>261</v>
      </c>
    </row>
    <row r="26" s="125" customFormat="1" customHeight="1" spans="1:89">
      <c r="A26" s="174">
        <v>7</v>
      </c>
      <c r="B26" s="125"/>
      <c r="C26" s="184">
        <v>45706</v>
      </c>
      <c r="D26" s="125">
        <v>20250000698</v>
      </c>
      <c r="F26" s="1037" t="s">
        <v>3285</v>
      </c>
      <c r="G26" s="125" t="s">
        <v>3286</v>
      </c>
      <c r="I26" s="284" t="s">
        <v>3287</v>
      </c>
      <c r="J26" s="125">
        <v>117.97</v>
      </c>
      <c r="K26" s="125">
        <v>117.97</v>
      </c>
      <c r="L26" s="125">
        <v>5800</v>
      </c>
      <c r="M26" s="282">
        <v>684226</v>
      </c>
      <c r="N26" s="223">
        <v>5800</v>
      </c>
      <c r="O26" s="165">
        <v>627730.28</v>
      </c>
      <c r="P26" s="1038" t="s">
        <v>3288</v>
      </c>
      <c r="Q26" s="210">
        <v>45855</v>
      </c>
      <c r="R26" s="223"/>
      <c r="S26" s="224"/>
      <c r="T26" s="174"/>
      <c r="U26" s="224" t="s">
        <v>257</v>
      </c>
      <c r="V26" s="223">
        <v>61878</v>
      </c>
      <c r="W26" s="224" t="s">
        <v>927</v>
      </c>
      <c r="X26" s="223">
        <v>75000</v>
      </c>
      <c r="Y26" s="210" t="s">
        <v>373</v>
      </c>
      <c r="Z26" s="223">
        <v>547000</v>
      </c>
      <c r="AA26" s="224" t="s">
        <v>3289</v>
      </c>
      <c r="AB26" s="223">
        <v>348</v>
      </c>
      <c r="AC26" s="224" t="s">
        <v>3252</v>
      </c>
      <c r="AH26" s="223">
        <f t="shared" si="0"/>
        <v>684226</v>
      </c>
      <c r="AK26" s="171">
        <f t="shared" si="3"/>
        <v>0</v>
      </c>
      <c r="AM26" s="175" t="s">
        <v>3290</v>
      </c>
      <c r="AO26" s="125">
        <f t="shared" si="1"/>
        <v>683878</v>
      </c>
      <c r="AP26" s="169">
        <f>0.7%+0.04%+0.12%+0.03%</f>
        <v>0.0089</v>
      </c>
      <c r="AQ26" s="283">
        <f t="shared" si="2"/>
        <v>0</v>
      </c>
      <c r="AR26" s="223"/>
      <c r="AS26" s="223"/>
      <c r="AT26" s="223"/>
      <c r="AU26" s="223"/>
      <c r="AV26" s="223"/>
      <c r="AW26" s="223"/>
      <c r="AX26" s="223"/>
      <c r="AY26" s="223"/>
      <c r="AZ26" s="223"/>
      <c r="BB26" s="223"/>
      <c r="BR26" s="125">
        <v>136878</v>
      </c>
      <c r="BS26" s="125">
        <v>547000</v>
      </c>
      <c r="CI26" s="125" t="s">
        <v>260</v>
      </c>
      <c r="CK26" s="125" t="s">
        <v>261</v>
      </c>
    </row>
    <row r="27" s="125" customFormat="1" customHeight="1" spans="1:89">
      <c r="A27" s="174">
        <v>8</v>
      </c>
      <c r="B27" s="125"/>
      <c r="C27" s="184">
        <v>45665</v>
      </c>
      <c r="D27" s="125">
        <v>20250000129</v>
      </c>
      <c r="F27" s="1037" t="s">
        <v>3291</v>
      </c>
      <c r="G27" s="125" t="s">
        <v>3292</v>
      </c>
      <c r="H27" s="1037" t="s">
        <v>3293</v>
      </c>
      <c r="I27" s="281" t="s">
        <v>3294</v>
      </c>
      <c r="J27" s="125">
        <v>117.6</v>
      </c>
      <c r="K27" s="125">
        <v>117.6</v>
      </c>
      <c r="L27" s="125">
        <v>5785.26</v>
      </c>
      <c r="M27" s="282">
        <v>680347</v>
      </c>
      <c r="N27" s="223">
        <v>5785.26</v>
      </c>
      <c r="O27" s="165">
        <v>624171.56</v>
      </c>
      <c r="P27" s="1038" t="s">
        <v>3295</v>
      </c>
      <c r="Q27" s="210">
        <v>45855</v>
      </c>
      <c r="R27" s="223"/>
      <c r="S27" s="224"/>
      <c r="T27" s="174"/>
      <c r="U27" s="224" t="s">
        <v>561</v>
      </c>
      <c r="V27" s="223">
        <v>7000</v>
      </c>
      <c r="W27" s="224" t="s">
        <v>3296</v>
      </c>
      <c r="X27" s="223">
        <v>95000</v>
      </c>
      <c r="Y27" s="210" t="s">
        <v>3297</v>
      </c>
      <c r="Z27" s="223">
        <v>578000</v>
      </c>
      <c r="AA27" s="224" t="s">
        <v>3298</v>
      </c>
      <c r="AB27" s="223">
        <v>347</v>
      </c>
      <c r="AC27" s="224" t="s">
        <v>3252</v>
      </c>
      <c r="AH27" s="223">
        <f t="shared" si="0"/>
        <v>680347</v>
      </c>
      <c r="AK27" s="171">
        <f t="shared" si="3"/>
        <v>0</v>
      </c>
      <c r="AL27" s="125">
        <v>17684743142</v>
      </c>
      <c r="AM27" s="175" t="s">
        <v>3284</v>
      </c>
      <c r="AO27" s="125">
        <f t="shared" si="1"/>
        <v>680000</v>
      </c>
      <c r="AP27" s="169">
        <f>0.4%+0.02%+0.1%+0.03%</f>
        <v>0.0055</v>
      </c>
      <c r="AQ27" s="283">
        <f t="shared" si="2"/>
        <v>0</v>
      </c>
      <c r="AR27" s="223"/>
      <c r="AS27" s="223"/>
      <c r="AT27" s="223"/>
      <c r="AU27" s="223"/>
      <c r="AV27" s="223"/>
      <c r="AW27" s="223"/>
      <c r="AX27" s="223"/>
      <c r="AY27" s="223"/>
      <c r="AZ27" s="223"/>
      <c r="BB27" s="223"/>
      <c r="BR27" s="125">
        <v>102000</v>
      </c>
      <c r="BS27" s="125">
        <v>578000</v>
      </c>
      <c r="CI27" s="125" t="s">
        <v>260</v>
      </c>
      <c r="CK27" s="125" t="s">
        <v>261</v>
      </c>
    </row>
    <row r="28" s="125" customFormat="1" customHeight="1" spans="1:89">
      <c r="A28" s="174">
        <v>9</v>
      </c>
      <c r="C28" s="184">
        <v>45538</v>
      </c>
      <c r="D28" s="125">
        <v>20240005071</v>
      </c>
      <c r="F28" s="1037" t="s">
        <v>3299</v>
      </c>
      <c r="G28" s="125" t="s">
        <v>3300</v>
      </c>
      <c r="H28" s="1037" t="s">
        <v>3301</v>
      </c>
      <c r="I28" s="284" t="s">
        <v>3302</v>
      </c>
      <c r="J28" s="125">
        <v>117.97</v>
      </c>
      <c r="K28" s="125">
        <v>117.97</v>
      </c>
      <c r="L28" s="125">
        <v>5550</v>
      </c>
      <c r="M28" s="282">
        <v>654733</v>
      </c>
      <c r="N28" s="285">
        <v>5549.996</v>
      </c>
      <c r="O28" s="165">
        <v>600672.48</v>
      </c>
      <c r="P28" s="1038" t="s">
        <v>3303</v>
      </c>
      <c r="Q28" s="210">
        <v>45855</v>
      </c>
      <c r="R28" s="223"/>
      <c r="S28" s="224"/>
      <c r="T28" s="174"/>
      <c r="U28" s="224" t="s">
        <v>294</v>
      </c>
      <c r="V28" s="223">
        <v>10000</v>
      </c>
      <c r="W28" s="224" t="s">
        <v>3304</v>
      </c>
      <c r="X28" s="223">
        <v>269400</v>
      </c>
      <c r="Y28" s="224">
        <v>45538</v>
      </c>
      <c r="Z28" s="223">
        <v>375000</v>
      </c>
      <c r="AA28" s="224" t="s">
        <v>586</v>
      </c>
      <c r="AB28" s="223">
        <v>333</v>
      </c>
      <c r="AC28" s="224" t="s">
        <v>2633</v>
      </c>
      <c r="AH28" s="223">
        <f t="shared" si="0"/>
        <v>654733</v>
      </c>
      <c r="AK28" s="171">
        <f t="shared" si="3"/>
        <v>0</v>
      </c>
      <c r="AL28" s="125">
        <v>18095839597</v>
      </c>
      <c r="AM28" s="175" t="s">
        <v>3305</v>
      </c>
      <c r="AO28" s="125">
        <f t="shared" si="1"/>
        <v>654400</v>
      </c>
      <c r="AP28" s="169">
        <f>0.7%+0.08%</f>
        <v>0.0078</v>
      </c>
      <c r="AQ28" s="283">
        <f t="shared" si="2"/>
        <v>0</v>
      </c>
      <c r="AR28" s="223"/>
      <c r="AS28" s="223"/>
      <c r="AT28" s="223"/>
      <c r="AU28" s="223"/>
      <c r="AV28" s="223"/>
      <c r="AW28" s="223"/>
      <c r="AX28" s="223"/>
      <c r="AY28" s="223"/>
      <c r="AZ28" s="223"/>
      <c r="BB28" s="223"/>
      <c r="BM28" s="125">
        <v>279400</v>
      </c>
      <c r="BN28" s="125">
        <v>375000</v>
      </c>
      <c r="CI28" s="125" t="s">
        <v>260</v>
      </c>
      <c r="CK28" s="125" t="s">
        <v>261</v>
      </c>
    </row>
    <row r="29" s="125" customFormat="1" customHeight="1" spans="1:89">
      <c r="A29" s="174">
        <v>10</v>
      </c>
      <c r="B29" s="125"/>
      <c r="C29" s="184">
        <v>45668</v>
      </c>
      <c r="D29" s="125">
        <v>20250000182</v>
      </c>
      <c r="F29" s="125" t="s">
        <v>3306</v>
      </c>
      <c r="G29" s="125" t="s">
        <v>3307</v>
      </c>
      <c r="I29" s="281" t="s">
        <v>3308</v>
      </c>
      <c r="J29" s="125">
        <v>117.6</v>
      </c>
      <c r="K29" s="125">
        <v>117.6</v>
      </c>
      <c r="L29" s="125">
        <v>5858.41</v>
      </c>
      <c r="M29" s="282">
        <v>688950</v>
      </c>
      <c r="N29" s="223">
        <v>5858.41</v>
      </c>
      <c r="O29" s="165">
        <v>632064.22</v>
      </c>
      <c r="P29" s="1038" t="s">
        <v>3309</v>
      </c>
      <c r="Q29" s="210">
        <v>45855</v>
      </c>
      <c r="R29" s="223"/>
      <c r="S29" s="224"/>
      <c r="T29" s="174"/>
      <c r="U29" s="224" t="s">
        <v>370</v>
      </c>
      <c r="V29" s="223">
        <v>20000</v>
      </c>
      <c r="W29" s="224" t="s">
        <v>505</v>
      </c>
      <c r="X29" s="223">
        <v>38598</v>
      </c>
      <c r="Y29" s="210" t="s">
        <v>2841</v>
      </c>
      <c r="Z29" s="125">
        <v>80000</v>
      </c>
      <c r="AA29" s="171" t="s">
        <v>3310</v>
      </c>
      <c r="AB29" s="223">
        <v>550000</v>
      </c>
      <c r="AC29" s="224" t="s">
        <v>927</v>
      </c>
      <c r="AD29" s="223">
        <v>352</v>
      </c>
      <c r="AE29" s="224" t="s">
        <v>3252</v>
      </c>
      <c r="AH29" s="223">
        <f t="shared" si="0"/>
        <v>688950</v>
      </c>
      <c r="AK29" s="171">
        <f t="shared" si="3"/>
        <v>0</v>
      </c>
      <c r="AL29" s="125">
        <v>18699479623</v>
      </c>
      <c r="AM29" s="175" t="s">
        <v>3284</v>
      </c>
      <c r="AO29" s="125">
        <f t="shared" si="1"/>
        <v>688598</v>
      </c>
      <c r="AP29" s="169">
        <f>0.7%+0.04%+0.1%+0.03%</f>
        <v>0.0087</v>
      </c>
      <c r="AQ29" s="283">
        <f t="shared" si="2"/>
        <v>100</v>
      </c>
      <c r="AR29" s="223"/>
      <c r="AS29" s="223"/>
      <c r="AT29" s="223"/>
      <c r="AU29" s="223"/>
      <c r="AV29" s="223"/>
      <c r="AW29" s="223"/>
      <c r="AX29" s="223"/>
      <c r="AY29" s="223">
        <v>100</v>
      </c>
      <c r="AZ29" s="223"/>
      <c r="BB29" s="223"/>
      <c r="BR29" s="125">
        <v>688598</v>
      </c>
      <c r="CI29" s="125" t="s">
        <v>260</v>
      </c>
      <c r="CK29" s="125" t="s">
        <v>261</v>
      </c>
    </row>
    <row r="30" s="125" customFormat="1" customHeight="1" spans="1:89">
      <c r="A30" s="174">
        <v>11</v>
      </c>
      <c r="B30" s="125"/>
      <c r="C30" s="184">
        <v>45703</v>
      </c>
      <c r="D30" s="125">
        <v>20250000640</v>
      </c>
      <c r="F30" s="1037" t="s">
        <v>3311</v>
      </c>
      <c r="G30" s="125" t="s">
        <v>3312</v>
      </c>
      <c r="H30" s="1037" t="s">
        <v>3313</v>
      </c>
      <c r="I30" s="284" t="s">
        <v>3314</v>
      </c>
      <c r="J30" s="125">
        <v>117.97</v>
      </c>
      <c r="K30" s="125">
        <v>117.97</v>
      </c>
      <c r="L30" s="125">
        <v>5555.08</v>
      </c>
      <c r="M30" s="282">
        <v>655333</v>
      </c>
      <c r="N30" s="223">
        <v>5555.08</v>
      </c>
      <c r="O30" s="165">
        <v>601222.94</v>
      </c>
      <c r="P30" s="1038" t="s">
        <v>3315</v>
      </c>
      <c r="Q30" s="210">
        <v>45855</v>
      </c>
      <c r="R30" s="223"/>
      <c r="S30" s="224"/>
      <c r="T30" s="174"/>
      <c r="U30" s="224" t="s">
        <v>656</v>
      </c>
      <c r="V30" s="223">
        <v>20000</v>
      </c>
      <c r="W30" s="224" t="s">
        <v>3316</v>
      </c>
      <c r="X30" s="223">
        <v>635000</v>
      </c>
      <c r="Y30" s="210" t="s">
        <v>3317</v>
      </c>
      <c r="Z30" s="223">
        <v>333</v>
      </c>
      <c r="AA30" s="224" t="s">
        <v>1043</v>
      </c>
      <c r="AB30" s="223"/>
      <c r="AH30" s="223">
        <f t="shared" si="0"/>
        <v>655333</v>
      </c>
      <c r="AK30" s="171">
        <f t="shared" ref="AK30:AK49" si="4">M30-AH30</f>
        <v>0</v>
      </c>
      <c r="AL30" s="125">
        <v>18099457961</v>
      </c>
      <c r="AM30" s="175" t="s">
        <v>3284</v>
      </c>
      <c r="AO30" s="125">
        <f t="shared" si="1"/>
        <v>655000</v>
      </c>
      <c r="AP30" s="169">
        <f>0.6%+0.04%+0.12%+0.03%</f>
        <v>0.0079</v>
      </c>
      <c r="AQ30" s="283">
        <f t="shared" si="2"/>
        <v>0</v>
      </c>
      <c r="AR30" s="223"/>
      <c r="AS30" s="223"/>
      <c r="AT30" s="223"/>
      <c r="AU30" s="223"/>
      <c r="AV30" s="223"/>
      <c r="AW30" s="223"/>
      <c r="AX30" s="223"/>
      <c r="AY30" s="223"/>
      <c r="AZ30" s="223"/>
      <c r="BB30" s="223"/>
      <c r="BR30" s="125">
        <v>655000</v>
      </c>
      <c r="CI30" s="125" t="s">
        <v>260</v>
      </c>
      <c r="CK30" s="125" t="s">
        <v>261</v>
      </c>
    </row>
    <row r="31" s="125" customFormat="1" customHeight="1" spans="1:89">
      <c r="A31" s="174">
        <v>12</v>
      </c>
      <c r="C31" s="184">
        <v>45622</v>
      </c>
      <c r="D31" s="125">
        <v>20240006811</v>
      </c>
      <c r="F31" s="1037" t="s">
        <v>3318</v>
      </c>
      <c r="G31" s="125" t="s">
        <v>3319</v>
      </c>
      <c r="H31" s="1037" t="s">
        <v>3320</v>
      </c>
      <c r="I31" s="281" t="s">
        <v>3321</v>
      </c>
      <c r="J31" s="125">
        <v>117.6</v>
      </c>
      <c r="K31" s="125">
        <v>117.6</v>
      </c>
      <c r="L31" s="125">
        <v>5980.88</v>
      </c>
      <c r="M31" s="282">
        <v>703352</v>
      </c>
      <c r="N31" s="223">
        <v>5980.88</v>
      </c>
      <c r="O31" s="165">
        <v>645277.06</v>
      </c>
      <c r="P31" s="1038" t="s">
        <v>3322</v>
      </c>
      <c r="Q31" s="210">
        <v>45855</v>
      </c>
      <c r="R31" s="223"/>
      <c r="S31" s="224"/>
      <c r="T31" s="1038" t="s">
        <v>3323</v>
      </c>
      <c r="U31" s="224" t="s">
        <v>370</v>
      </c>
      <c r="V31" s="223">
        <v>2000</v>
      </c>
      <c r="W31" s="224" t="s">
        <v>3324</v>
      </c>
      <c r="X31" s="223">
        <v>18000</v>
      </c>
      <c r="Y31" s="224" t="s">
        <v>3325</v>
      </c>
      <c r="Z31" s="223">
        <v>482993</v>
      </c>
      <c r="AA31" s="224" t="s">
        <v>392</v>
      </c>
      <c r="AB31" s="223">
        <v>200000</v>
      </c>
      <c r="AC31" s="224" t="s">
        <v>3326</v>
      </c>
      <c r="AD31" s="223">
        <v>359</v>
      </c>
      <c r="AE31" s="224" t="s">
        <v>3252</v>
      </c>
      <c r="AH31" s="223">
        <f t="shared" si="0"/>
        <v>703352</v>
      </c>
      <c r="AK31" s="171">
        <f t="shared" si="4"/>
        <v>0</v>
      </c>
      <c r="AL31" s="125">
        <v>13779689564</v>
      </c>
      <c r="AM31" s="175"/>
      <c r="AO31" s="125">
        <f t="shared" si="1"/>
        <v>702993</v>
      </c>
      <c r="AP31" s="169">
        <f>0.7%+0.02%+0.08%</f>
        <v>0.008</v>
      </c>
      <c r="AQ31" s="283">
        <f t="shared" si="2"/>
        <v>0</v>
      </c>
      <c r="AR31" s="223"/>
      <c r="AS31" s="223"/>
      <c r="AT31" s="223"/>
      <c r="AU31" s="223"/>
      <c r="AV31" s="223"/>
      <c r="AW31" s="223"/>
      <c r="AX31" s="223"/>
      <c r="AY31" s="223"/>
      <c r="AZ31" s="223"/>
      <c r="BB31" s="223"/>
      <c r="BO31" s="125">
        <v>502993</v>
      </c>
      <c r="BR31" s="125">
        <v>200000</v>
      </c>
      <c r="CI31" s="125" t="s">
        <v>260</v>
      </c>
      <c r="CK31" s="125" t="s">
        <v>261</v>
      </c>
    </row>
    <row r="32" s="125" customFormat="1" customHeight="1" spans="1:89">
      <c r="A32" s="174">
        <v>13</v>
      </c>
      <c r="B32" s="125"/>
      <c r="C32" s="184">
        <v>45662</v>
      </c>
      <c r="D32" s="125">
        <v>20250000070</v>
      </c>
      <c r="F32" s="1037" t="s">
        <v>3327</v>
      </c>
      <c r="G32" s="125" t="s">
        <v>3328</v>
      </c>
      <c r="I32" s="284" t="s">
        <v>3329</v>
      </c>
      <c r="J32" s="125">
        <v>117.97</v>
      </c>
      <c r="K32" s="125">
        <v>117.97</v>
      </c>
      <c r="L32" s="125">
        <v>5682.3</v>
      </c>
      <c r="M32" s="282">
        <v>670341</v>
      </c>
      <c r="N32" s="223">
        <v>5682.3</v>
      </c>
      <c r="O32" s="165">
        <v>614991.74</v>
      </c>
      <c r="P32" s="1038" t="s">
        <v>3330</v>
      </c>
      <c r="Q32" s="210">
        <v>45855</v>
      </c>
      <c r="R32" s="223"/>
      <c r="S32" s="224"/>
      <c r="T32" s="174"/>
      <c r="U32" s="224" t="s">
        <v>294</v>
      </c>
      <c r="V32" s="223">
        <v>300000</v>
      </c>
      <c r="W32" s="224" t="s">
        <v>3331</v>
      </c>
      <c r="X32" s="223">
        <v>370000</v>
      </c>
      <c r="Y32" s="224" t="s">
        <v>3316</v>
      </c>
      <c r="Z32" s="223">
        <v>341</v>
      </c>
      <c r="AA32" s="224" t="s">
        <v>3252</v>
      </c>
      <c r="AB32" s="223"/>
      <c r="AH32" s="223">
        <f t="shared" si="0"/>
        <v>670341</v>
      </c>
      <c r="AK32" s="171">
        <f t="shared" si="4"/>
        <v>0</v>
      </c>
      <c r="AM32" s="175" t="s">
        <v>3332</v>
      </c>
      <c r="AO32" s="125">
        <f t="shared" si="1"/>
        <v>670000</v>
      </c>
      <c r="AP32" s="169">
        <f>0.6%+0.1%+0.03%</f>
        <v>0.0073</v>
      </c>
      <c r="AQ32" s="283">
        <f t="shared" si="2"/>
        <v>0</v>
      </c>
      <c r="AR32" s="223"/>
      <c r="AS32" s="223"/>
      <c r="AT32" s="223"/>
      <c r="AU32" s="223"/>
      <c r="AV32" s="223"/>
      <c r="AW32" s="223"/>
      <c r="AX32" s="223"/>
      <c r="AY32" s="223"/>
      <c r="AZ32" s="223"/>
      <c r="BB32" s="223"/>
      <c r="BQ32" s="125">
        <v>300000</v>
      </c>
      <c r="BR32" s="125">
        <v>370000</v>
      </c>
      <c r="CI32" s="125" t="s">
        <v>260</v>
      </c>
      <c r="CK32" s="125" t="s">
        <v>261</v>
      </c>
    </row>
    <row r="33" s="125" customFormat="1" customHeight="1" spans="1:89">
      <c r="A33" s="174">
        <v>14</v>
      </c>
      <c r="B33" s="125"/>
      <c r="C33" s="184">
        <v>45742</v>
      </c>
      <c r="D33" s="125">
        <v>20250001650</v>
      </c>
      <c r="F33" s="125" t="s">
        <v>3333</v>
      </c>
      <c r="G33" s="125" t="s">
        <v>3334</v>
      </c>
      <c r="H33" s="1037" t="s">
        <v>3335</v>
      </c>
      <c r="I33" s="281" t="s">
        <v>3336</v>
      </c>
      <c r="J33" s="125">
        <v>117.6</v>
      </c>
      <c r="K33" s="125">
        <v>117.6</v>
      </c>
      <c r="L33" s="125">
        <v>5938.4</v>
      </c>
      <c r="M33" s="282">
        <v>698356</v>
      </c>
      <c r="N33" s="223">
        <v>5938.4</v>
      </c>
      <c r="O33" s="165">
        <v>640693.58</v>
      </c>
      <c r="P33" s="1038" t="s">
        <v>3337</v>
      </c>
      <c r="Q33" s="210">
        <v>45855</v>
      </c>
      <c r="R33" s="223"/>
      <c r="S33" s="224"/>
      <c r="T33" s="174"/>
      <c r="U33" s="224" t="s">
        <v>561</v>
      </c>
      <c r="V33" s="223">
        <v>20000</v>
      </c>
      <c r="W33" s="224" t="s">
        <v>373</v>
      </c>
      <c r="X33" s="223">
        <v>120000</v>
      </c>
      <c r="Y33" s="210" t="s">
        <v>786</v>
      </c>
      <c r="Z33" s="223">
        <v>558000</v>
      </c>
      <c r="AA33" s="224" t="s">
        <v>2112</v>
      </c>
      <c r="AB33" s="223">
        <v>356</v>
      </c>
      <c r="AC33" s="125" t="s">
        <v>431</v>
      </c>
      <c r="AH33" s="223">
        <f t="shared" si="0"/>
        <v>698356</v>
      </c>
      <c r="AK33" s="171">
        <f t="shared" si="4"/>
        <v>0</v>
      </c>
      <c r="AL33" s="125">
        <v>15276192885</v>
      </c>
      <c r="AM33" s="175" t="s">
        <v>3284</v>
      </c>
      <c r="AO33" s="125">
        <f t="shared" si="1"/>
        <v>698000</v>
      </c>
      <c r="AP33" s="169">
        <f>0.7%+0.03%+0.12%+0.03%</f>
        <v>0.0088</v>
      </c>
      <c r="AQ33" s="283">
        <f t="shared" si="2"/>
        <v>0</v>
      </c>
      <c r="AR33" s="223"/>
      <c r="AS33" s="223"/>
      <c r="AT33" s="223"/>
      <c r="AU33" s="223"/>
      <c r="AV33" s="223"/>
      <c r="AW33" s="223"/>
      <c r="AX33" s="223"/>
      <c r="AY33" s="223"/>
      <c r="AZ33" s="223"/>
      <c r="BB33" s="223"/>
      <c r="BS33" s="125">
        <v>140000</v>
      </c>
      <c r="BU33" s="125">
        <v>558000</v>
      </c>
      <c r="CI33" s="125" t="s">
        <v>260</v>
      </c>
      <c r="CK33" s="125" t="s">
        <v>261</v>
      </c>
    </row>
    <row r="34" s="125" customFormat="1" customHeight="1" spans="1:89">
      <c r="A34" s="174">
        <v>15</v>
      </c>
      <c r="B34" s="125"/>
      <c r="C34" s="184">
        <v>45743</v>
      </c>
      <c r="D34" s="125">
        <v>20250001666</v>
      </c>
      <c r="F34" s="1037" t="s">
        <v>3338</v>
      </c>
      <c r="G34" s="125" t="s">
        <v>3230</v>
      </c>
      <c r="I34" s="284" t="s">
        <v>3339</v>
      </c>
      <c r="J34" s="125">
        <v>117.97</v>
      </c>
      <c r="K34" s="125">
        <v>117.97</v>
      </c>
      <c r="L34" s="125">
        <v>5903.78</v>
      </c>
      <c r="M34" s="282">
        <v>696469</v>
      </c>
      <c r="N34" s="223">
        <v>5903.78</v>
      </c>
      <c r="O34" s="165">
        <v>638962.39</v>
      </c>
      <c r="P34" s="1038" t="s">
        <v>3340</v>
      </c>
      <c r="Q34" s="210">
        <v>45855</v>
      </c>
      <c r="R34" s="223"/>
      <c r="S34" s="224"/>
      <c r="T34" s="174"/>
      <c r="U34" s="224"/>
      <c r="V34" s="223">
        <v>20000</v>
      </c>
      <c r="W34" s="224" t="s">
        <v>3317</v>
      </c>
      <c r="X34" s="223">
        <v>115</v>
      </c>
      <c r="Y34" s="224" t="s">
        <v>3341</v>
      </c>
      <c r="Z34" s="223">
        <v>276000</v>
      </c>
      <c r="AA34" s="224" t="s">
        <v>3342</v>
      </c>
      <c r="AB34" s="223">
        <v>400000</v>
      </c>
      <c r="AC34" s="224" t="s">
        <v>3343</v>
      </c>
      <c r="AD34" s="223">
        <v>354</v>
      </c>
      <c r="AE34" s="224" t="s">
        <v>3232</v>
      </c>
      <c r="AH34" s="223">
        <f t="shared" si="0"/>
        <v>696469</v>
      </c>
      <c r="AK34" s="171">
        <f t="shared" si="4"/>
        <v>0</v>
      </c>
      <c r="AM34" s="175" t="s">
        <v>3284</v>
      </c>
      <c r="AO34" s="125">
        <f t="shared" si="1"/>
        <v>696115</v>
      </c>
      <c r="AP34" s="169">
        <f>0.7%+0.04%+0.12%+0.03%</f>
        <v>0.0089</v>
      </c>
      <c r="AQ34" s="283">
        <f t="shared" si="2"/>
        <v>0</v>
      </c>
      <c r="AR34" s="223"/>
      <c r="AS34" s="223"/>
      <c r="AT34" s="223"/>
      <c r="AU34" s="223"/>
      <c r="AV34" s="223"/>
      <c r="AW34" s="223"/>
      <c r="AX34" s="223"/>
      <c r="AY34" s="223"/>
      <c r="AZ34" s="223"/>
      <c r="BB34" s="223"/>
      <c r="BT34" s="125">
        <v>296115</v>
      </c>
      <c r="BU34" s="125">
        <v>400000</v>
      </c>
      <c r="CI34" s="125" t="s">
        <v>260</v>
      </c>
      <c r="CK34" s="125" t="s">
        <v>261</v>
      </c>
    </row>
    <row r="35" s="125" customFormat="1" customHeight="1" spans="1:89">
      <c r="A35" s="174">
        <v>16</v>
      </c>
      <c r="B35" s="125"/>
      <c r="C35" s="184">
        <v>45699</v>
      </c>
      <c r="D35" s="125">
        <v>20250000580</v>
      </c>
      <c r="F35" s="1037" t="s">
        <v>3344</v>
      </c>
      <c r="G35" s="125" t="s">
        <v>3345</v>
      </c>
      <c r="H35" s="1037" t="s">
        <v>3346</v>
      </c>
      <c r="I35" s="281" t="s">
        <v>3347</v>
      </c>
      <c r="J35" s="125">
        <v>117.6</v>
      </c>
      <c r="K35" s="125">
        <v>117.6</v>
      </c>
      <c r="L35" s="125">
        <v>5778.55</v>
      </c>
      <c r="M35" s="282">
        <v>679558</v>
      </c>
      <c r="N35" s="223">
        <v>6050.88</v>
      </c>
      <c r="O35" s="165">
        <v>623447.71</v>
      </c>
      <c r="P35" s="1038" t="s">
        <v>3348</v>
      </c>
      <c r="Q35" s="210">
        <v>45855</v>
      </c>
      <c r="R35" s="223"/>
      <c r="S35" s="224"/>
      <c r="T35" s="174"/>
      <c r="U35" s="224" t="s">
        <v>656</v>
      </c>
      <c r="V35" s="223">
        <f>258000+10000</f>
        <v>268000</v>
      </c>
      <c r="W35" s="224" t="s">
        <v>3349</v>
      </c>
      <c r="X35" s="223">
        <v>211</v>
      </c>
      <c r="Y35" s="224" t="s">
        <v>2940</v>
      </c>
      <c r="Z35" s="125">
        <v>47000</v>
      </c>
      <c r="AA35" s="171" t="s">
        <v>3350</v>
      </c>
      <c r="AB35" s="223">
        <v>364000</v>
      </c>
      <c r="AC35" s="224" t="s">
        <v>3351</v>
      </c>
      <c r="AD35" s="125">
        <v>347</v>
      </c>
      <c r="AE35" s="125" t="s">
        <v>3252</v>
      </c>
      <c r="AH35" s="223">
        <f t="shared" si="0"/>
        <v>679558</v>
      </c>
      <c r="AK35" s="171">
        <f t="shared" si="4"/>
        <v>0</v>
      </c>
      <c r="AL35" s="125">
        <v>13565612721</v>
      </c>
      <c r="AM35" s="175" t="s">
        <v>3332</v>
      </c>
      <c r="AO35" s="125">
        <f t="shared" si="1"/>
        <v>679211</v>
      </c>
      <c r="AP35" s="169">
        <f>0.6%+0.04%+0.12%+0.03%</f>
        <v>0.0079</v>
      </c>
      <c r="AQ35" s="283">
        <f t="shared" si="2"/>
        <v>0</v>
      </c>
      <c r="AR35" s="223"/>
      <c r="AS35" s="223"/>
      <c r="AT35" s="223"/>
      <c r="AU35" s="223"/>
      <c r="AV35" s="223"/>
      <c r="AW35" s="223"/>
      <c r="AX35" s="223"/>
      <c r="AY35" s="223"/>
      <c r="AZ35" s="223"/>
      <c r="BB35" s="223"/>
      <c r="BR35" s="125">
        <v>315211</v>
      </c>
      <c r="BT35" s="125">
        <v>364000</v>
      </c>
      <c r="CI35" s="125" t="s">
        <v>260</v>
      </c>
      <c r="CK35" s="125" t="s">
        <v>261</v>
      </c>
    </row>
    <row r="36" s="125" customFormat="1" customHeight="1" spans="1:89">
      <c r="A36" s="174">
        <v>17</v>
      </c>
      <c r="C36" s="184">
        <v>45624</v>
      </c>
      <c r="D36" s="125">
        <v>20240006859</v>
      </c>
      <c r="F36" s="1037" t="s">
        <v>3352</v>
      </c>
      <c r="G36" s="125" t="s">
        <v>3353</v>
      </c>
      <c r="H36" s="1037" t="s">
        <v>3354</v>
      </c>
      <c r="I36" s="284" t="s">
        <v>3355</v>
      </c>
      <c r="J36" s="125">
        <v>117.97</v>
      </c>
      <c r="K36" s="125">
        <v>117.97</v>
      </c>
      <c r="L36" s="125">
        <v>5885.48</v>
      </c>
      <c r="M36" s="282">
        <v>694310</v>
      </c>
      <c r="N36" s="223">
        <v>6055.88</v>
      </c>
      <c r="O36" s="165">
        <v>636981.65</v>
      </c>
      <c r="P36" s="1038" t="s">
        <v>3356</v>
      </c>
      <c r="Q36" s="210">
        <v>45855</v>
      </c>
      <c r="R36" s="223"/>
      <c r="S36" s="224"/>
      <c r="T36" s="174"/>
      <c r="U36" s="224" t="s">
        <v>370</v>
      </c>
      <c r="V36" s="223">
        <v>20000</v>
      </c>
      <c r="W36" s="224" t="s">
        <v>3357</v>
      </c>
      <c r="X36" s="223">
        <v>173957</v>
      </c>
      <c r="Y36" s="224" t="s">
        <v>904</v>
      </c>
      <c r="Z36" s="223">
        <v>500000</v>
      </c>
      <c r="AA36" s="224" t="s">
        <v>1091</v>
      </c>
      <c r="AB36" s="223">
        <v>353</v>
      </c>
      <c r="AC36" s="224" t="s">
        <v>1043</v>
      </c>
      <c r="AH36" s="223">
        <f t="shared" si="0"/>
        <v>694310</v>
      </c>
      <c r="AK36" s="171">
        <f t="shared" si="4"/>
        <v>0</v>
      </c>
      <c r="AL36" s="125">
        <v>18571641326</v>
      </c>
      <c r="AM36" s="175" t="s">
        <v>3284</v>
      </c>
      <c r="AO36" s="125">
        <f t="shared" si="1"/>
        <v>693957</v>
      </c>
      <c r="AP36" s="169">
        <f>0.5%+0.02%+0.08%</f>
        <v>0.006</v>
      </c>
      <c r="AQ36" s="283">
        <f t="shared" si="2"/>
        <v>0</v>
      </c>
      <c r="AR36" s="223"/>
      <c r="AS36" s="223"/>
      <c r="AT36" s="223"/>
      <c r="AU36" s="223"/>
      <c r="AV36" s="223"/>
      <c r="AW36" s="223"/>
      <c r="AX36" s="223"/>
      <c r="AY36" s="223"/>
      <c r="AZ36" s="223"/>
      <c r="BB36" s="223"/>
      <c r="BO36" s="125">
        <v>193957</v>
      </c>
      <c r="BS36" s="125">
        <v>500000</v>
      </c>
      <c r="CI36" s="125" t="s">
        <v>260</v>
      </c>
      <c r="CK36" s="125" t="s">
        <v>261</v>
      </c>
    </row>
    <row r="37" s="125" customFormat="1" customHeight="1" spans="1:89">
      <c r="A37" s="174">
        <v>18</v>
      </c>
      <c r="B37" s="125"/>
      <c r="C37" s="184">
        <v>45717</v>
      </c>
      <c r="D37" s="125">
        <v>20250000960</v>
      </c>
      <c r="F37" s="1037" t="s">
        <v>3358</v>
      </c>
      <c r="G37" s="125" t="s">
        <v>3359</v>
      </c>
      <c r="H37" s="1037" t="s">
        <v>307</v>
      </c>
      <c r="I37" s="281" t="s">
        <v>3360</v>
      </c>
      <c r="J37" s="125">
        <v>117.6</v>
      </c>
      <c r="K37" s="125">
        <v>117.6</v>
      </c>
      <c r="L37" s="125">
        <v>5700.18</v>
      </c>
      <c r="M37" s="282">
        <v>670342</v>
      </c>
      <c r="N37" s="223">
        <v>5700.18</v>
      </c>
      <c r="O37" s="165">
        <v>614992.66</v>
      </c>
      <c r="P37" s="1038" t="s">
        <v>3361</v>
      </c>
      <c r="Q37" s="210">
        <v>45855</v>
      </c>
      <c r="R37" s="223"/>
      <c r="S37" s="224"/>
      <c r="T37" s="174"/>
      <c r="U37" s="224" t="s">
        <v>656</v>
      </c>
      <c r="V37" s="223">
        <v>10000</v>
      </c>
      <c r="W37" s="224" t="s">
        <v>3317</v>
      </c>
      <c r="X37" s="223">
        <v>226000</v>
      </c>
      <c r="Y37" s="224" t="s">
        <v>430</v>
      </c>
      <c r="Z37" s="125">
        <v>74000</v>
      </c>
      <c r="AA37" s="171" t="s">
        <v>2897</v>
      </c>
      <c r="AB37" s="223">
        <v>360000</v>
      </c>
      <c r="AC37" s="224" t="s">
        <v>3014</v>
      </c>
      <c r="AD37" s="125">
        <v>342</v>
      </c>
      <c r="AE37" s="125" t="s">
        <v>2689</v>
      </c>
      <c r="AH37" s="223">
        <f t="shared" si="0"/>
        <v>670342</v>
      </c>
      <c r="AK37" s="171">
        <f t="shared" si="4"/>
        <v>0</v>
      </c>
      <c r="AL37" s="125">
        <v>13279179296</v>
      </c>
      <c r="AM37" s="175" t="s">
        <v>3362</v>
      </c>
      <c r="AO37" s="125">
        <f t="shared" si="1"/>
        <v>670000</v>
      </c>
      <c r="AP37" s="169">
        <f>0.6%+0.04%+0.12%+0.03%</f>
        <v>0.0079</v>
      </c>
      <c r="AQ37" s="283">
        <f t="shared" si="2"/>
        <v>0</v>
      </c>
      <c r="AR37" s="223"/>
      <c r="AS37" s="223"/>
      <c r="AT37" s="223"/>
      <c r="AU37" s="223"/>
      <c r="AV37" s="223"/>
      <c r="AW37" s="223"/>
      <c r="AX37" s="223"/>
      <c r="AY37" s="223"/>
      <c r="AZ37" s="223"/>
      <c r="BB37" s="223"/>
      <c r="BS37" s="125">
        <v>310000</v>
      </c>
      <c r="BT37" s="125">
        <v>360000</v>
      </c>
      <c r="CI37" s="125" t="s">
        <v>260</v>
      </c>
      <c r="CK37" s="125" t="s">
        <v>261</v>
      </c>
    </row>
    <row r="38" s="125" customFormat="1" customHeight="1" spans="1:89">
      <c r="A38" s="174">
        <v>19</v>
      </c>
      <c r="B38" s="125"/>
      <c r="C38" s="184">
        <v>45620</v>
      </c>
      <c r="D38" s="125">
        <v>20240006777</v>
      </c>
      <c r="F38" s="1037" t="s">
        <v>3363</v>
      </c>
      <c r="G38" s="125" t="s">
        <v>3364</v>
      </c>
      <c r="I38" s="284" t="s">
        <v>3365</v>
      </c>
      <c r="J38" s="125">
        <v>117.97</v>
      </c>
      <c r="K38" s="125">
        <v>117.97</v>
      </c>
      <c r="L38" s="125">
        <v>5700</v>
      </c>
      <c r="M38" s="282">
        <v>672429</v>
      </c>
      <c r="N38" s="223">
        <v>6075.88</v>
      </c>
      <c r="O38" s="165">
        <v>616907.34</v>
      </c>
      <c r="P38" s="1038" t="s">
        <v>3366</v>
      </c>
      <c r="Q38" s="210">
        <v>45855</v>
      </c>
      <c r="R38" s="223"/>
      <c r="S38" s="224"/>
      <c r="T38" s="174"/>
      <c r="U38" s="224" t="s">
        <v>294</v>
      </c>
      <c r="V38" s="223">
        <v>186087</v>
      </c>
      <c r="W38" s="224" t="s">
        <v>3367</v>
      </c>
      <c r="X38" s="223">
        <v>486000</v>
      </c>
      <c r="Y38" s="224" t="s">
        <v>3289</v>
      </c>
      <c r="Z38" s="223">
        <v>342</v>
      </c>
      <c r="AA38" s="224" t="s">
        <v>3368</v>
      </c>
      <c r="AB38" s="223"/>
      <c r="AH38" s="223">
        <f t="shared" si="0"/>
        <v>672429</v>
      </c>
      <c r="AK38" s="171">
        <f t="shared" si="4"/>
        <v>0</v>
      </c>
      <c r="AL38" s="125">
        <v>13779321816</v>
      </c>
      <c r="AM38" s="175" t="s">
        <v>3369</v>
      </c>
      <c r="AO38" s="125">
        <f t="shared" si="1"/>
        <v>672087</v>
      </c>
      <c r="AP38" s="169">
        <f>0.6%+0.08%+0.03%</f>
        <v>0.0071</v>
      </c>
      <c r="AQ38" s="283">
        <f t="shared" si="2"/>
        <v>0</v>
      </c>
      <c r="AR38" s="223"/>
      <c r="AS38" s="223"/>
      <c r="AT38" s="223"/>
      <c r="AU38" s="223"/>
      <c r="AV38" s="223"/>
      <c r="AW38" s="223"/>
      <c r="AX38" s="223"/>
      <c r="AY38" s="223"/>
      <c r="AZ38" s="223"/>
      <c r="BB38" s="223"/>
      <c r="BO38" s="125">
        <v>186087</v>
      </c>
      <c r="BS38" s="125">
        <v>486000</v>
      </c>
      <c r="CI38" s="125" t="s">
        <v>260</v>
      </c>
      <c r="CK38" s="125" t="s">
        <v>261</v>
      </c>
    </row>
    <row r="39" s="125" customFormat="1" customHeight="1" spans="1:89">
      <c r="A39" s="174">
        <v>20</v>
      </c>
      <c r="B39" s="125"/>
      <c r="C39" s="184">
        <v>45900</v>
      </c>
      <c r="D39" s="125">
        <v>20250004470</v>
      </c>
      <c r="F39" s="1037" t="s">
        <v>3370</v>
      </c>
      <c r="G39" s="125" t="s">
        <v>3371</v>
      </c>
      <c r="I39" s="284" t="s">
        <v>3372</v>
      </c>
      <c r="J39" s="125">
        <v>117.6</v>
      </c>
      <c r="K39" s="125">
        <v>117.6</v>
      </c>
      <c r="L39" s="125">
        <v>5578.23</v>
      </c>
      <c r="M39" s="282">
        <v>656000</v>
      </c>
      <c r="N39" s="223">
        <v>5578.23</v>
      </c>
      <c r="O39" s="165">
        <v>601834.86</v>
      </c>
      <c r="P39" s="1038" t="s">
        <v>3373</v>
      </c>
      <c r="Q39" s="210">
        <v>45911</v>
      </c>
      <c r="R39" s="223"/>
      <c r="S39" s="224"/>
      <c r="T39" s="174"/>
      <c r="U39" s="224" t="s">
        <v>690</v>
      </c>
      <c r="V39" s="223">
        <f>3000+153000</f>
        <v>156000</v>
      </c>
      <c r="W39" s="224" t="s">
        <v>3374</v>
      </c>
      <c r="X39" s="223">
        <v>500000</v>
      </c>
      <c r="Y39" s="224">
        <v>45954</v>
      </c>
      <c r="AA39" s="171"/>
      <c r="AB39" s="223"/>
      <c r="AH39" s="223">
        <f t="shared" si="0"/>
        <v>656000</v>
      </c>
      <c r="AK39" s="171">
        <f t="shared" si="4"/>
        <v>0</v>
      </c>
      <c r="AM39" s="175" t="s">
        <v>3375</v>
      </c>
      <c r="AO39" s="125">
        <f t="shared" si="1"/>
        <v>656000</v>
      </c>
      <c r="AP39" s="169">
        <f>0.7%+0.08%+0.03%</f>
        <v>0.0081</v>
      </c>
      <c r="AQ39" s="283">
        <f t="shared" si="2"/>
        <v>0</v>
      </c>
      <c r="AR39" s="223"/>
      <c r="AS39" s="223"/>
      <c r="AT39" s="223"/>
      <c r="AU39" s="223"/>
      <c r="AV39" s="223"/>
      <c r="AW39" s="223"/>
      <c r="AX39" s="223"/>
      <c r="AY39" s="223"/>
      <c r="AZ39" s="223"/>
      <c r="BB39" s="223"/>
      <c r="BY39" s="125">
        <v>156000</v>
      </c>
      <c r="BZ39" s="125">
        <v>500000</v>
      </c>
      <c r="CI39" s="125" t="s">
        <v>2707</v>
      </c>
      <c r="CK39" s="125" t="s">
        <v>3376</v>
      </c>
    </row>
    <row r="40" s="125" customFormat="1" customHeight="1" spans="1:89">
      <c r="A40" s="174">
        <v>21</v>
      </c>
      <c r="C40" s="184">
        <v>45548</v>
      </c>
      <c r="D40" s="125">
        <v>20240005254</v>
      </c>
      <c r="F40" s="1037" t="s">
        <v>3377</v>
      </c>
      <c r="G40" s="125" t="s">
        <v>3378</v>
      </c>
      <c r="H40" s="1037" t="s">
        <v>3379</v>
      </c>
      <c r="I40" s="284" t="s">
        <v>3380</v>
      </c>
      <c r="J40" s="125">
        <v>117.97</v>
      </c>
      <c r="K40" s="125">
        <v>117.97</v>
      </c>
      <c r="L40" s="174">
        <v>6784.84</v>
      </c>
      <c r="M40" s="282">
        <v>800407</v>
      </c>
      <c r="N40" s="285">
        <v>6784.835</v>
      </c>
      <c r="O40" s="165">
        <v>734318.35</v>
      </c>
      <c r="P40" s="1038" t="s">
        <v>3381</v>
      </c>
      <c r="Q40" s="210">
        <v>45856</v>
      </c>
      <c r="R40" s="223"/>
      <c r="S40" s="224"/>
      <c r="T40" s="174"/>
      <c r="U40" s="224" t="s">
        <v>2160</v>
      </c>
      <c r="V40" s="223">
        <v>20000</v>
      </c>
      <c r="W40" s="224" t="s">
        <v>3382</v>
      </c>
      <c r="X40" s="223">
        <v>100000</v>
      </c>
      <c r="Y40" s="224" t="s">
        <v>3383</v>
      </c>
      <c r="Z40" s="223">
        <v>680000</v>
      </c>
      <c r="AA40" s="224" t="s">
        <v>3384</v>
      </c>
      <c r="AB40" s="223">
        <v>407</v>
      </c>
      <c r="AC40" s="224" t="s">
        <v>3252</v>
      </c>
      <c r="AH40" s="223">
        <f t="shared" si="0"/>
        <v>800407</v>
      </c>
      <c r="AK40" s="171">
        <f t="shared" si="4"/>
        <v>0</v>
      </c>
      <c r="AL40" s="125">
        <v>15840846835</v>
      </c>
      <c r="AM40" s="175" t="s">
        <v>3385</v>
      </c>
      <c r="AO40" s="125">
        <f t="shared" si="1"/>
        <v>800000</v>
      </c>
      <c r="AP40" s="169">
        <f>0.4%+0.02%+0.08%</f>
        <v>0.005</v>
      </c>
      <c r="AQ40" s="283">
        <f t="shared" si="2"/>
        <v>0</v>
      </c>
      <c r="AR40" s="223"/>
      <c r="AS40" s="223"/>
      <c r="AT40" s="223"/>
      <c r="AU40" s="223"/>
      <c r="AV40" s="223"/>
      <c r="AW40" s="223"/>
      <c r="AX40" s="223"/>
      <c r="AY40" s="223"/>
      <c r="AZ40" s="223"/>
      <c r="BB40" s="223"/>
      <c r="BM40" s="125">
        <v>120000</v>
      </c>
      <c r="BP40" s="125">
        <v>680000</v>
      </c>
      <c r="CI40" s="125" t="s">
        <v>260</v>
      </c>
      <c r="CK40" s="125" t="s">
        <v>261</v>
      </c>
    </row>
    <row r="41" s="101" customFormat="1" customHeight="1" spans="1:89">
      <c r="A41" s="238">
        <v>22</v>
      </c>
      <c r="C41" s="244"/>
      <c r="I41" s="278" t="s">
        <v>3386</v>
      </c>
      <c r="J41" s="101">
        <v>117.6</v>
      </c>
      <c r="M41" s="239"/>
      <c r="N41" s="242">
        <v>6622.55</v>
      </c>
      <c r="O41" s="157"/>
      <c r="P41" s="275"/>
      <c r="Q41" s="241"/>
      <c r="R41" s="242"/>
      <c r="S41" s="243"/>
      <c r="T41" s="238"/>
      <c r="U41" s="243" t="s">
        <v>2160</v>
      </c>
      <c r="V41" s="242"/>
      <c r="X41" s="242"/>
      <c r="Y41" s="241"/>
      <c r="AA41" s="205"/>
      <c r="AB41" s="242"/>
      <c r="AH41" s="242">
        <f t="shared" si="0"/>
        <v>0</v>
      </c>
      <c r="AK41" s="171">
        <f t="shared" si="4"/>
        <v>0</v>
      </c>
      <c r="AM41" s="244"/>
      <c r="AO41" s="101">
        <f t="shared" si="1"/>
        <v>0</v>
      </c>
      <c r="AP41" s="276"/>
      <c r="AQ41" s="277">
        <f t="shared" si="2"/>
        <v>0</v>
      </c>
      <c r="AR41" s="242"/>
      <c r="AS41" s="242"/>
      <c r="AT41" s="242"/>
      <c r="AU41" s="242"/>
      <c r="AV41" s="242"/>
      <c r="AW41" s="242"/>
      <c r="AX41" s="242"/>
      <c r="AY41" s="242"/>
      <c r="AZ41" s="242"/>
      <c r="BB41" s="242"/>
    </row>
    <row r="42" s="101" customFormat="1" customHeight="1" spans="1:89">
      <c r="A42" s="238">
        <v>23</v>
      </c>
      <c r="C42" s="244"/>
      <c r="I42" s="278" t="s">
        <v>3387</v>
      </c>
      <c r="J42" s="101">
        <v>119.19</v>
      </c>
      <c r="M42" s="239"/>
      <c r="N42" s="242">
        <v>7962.5</v>
      </c>
      <c r="O42" s="157"/>
      <c r="P42" s="275"/>
      <c r="Q42" s="241"/>
      <c r="R42" s="242"/>
      <c r="S42" s="243"/>
      <c r="T42" s="238"/>
      <c r="U42" s="243" t="s">
        <v>284</v>
      </c>
      <c r="V42" s="242"/>
      <c r="W42" s="243"/>
      <c r="X42" s="242"/>
      <c r="Y42" s="241"/>
      <c r="AA42" s="205"/>
      <c r="AB42" s="242"/>
      <c r="AH42" s="242">
        <f t="shared" si="0"/>
        <v>0</v>
      </c>
      <c r="AK42" s="171">
        <f t="shared" si="4"/>
        <v>0</v>
      </c>
      <c r="AM42" s="244"/>
      <c r="AO42" s="101">
        <f t="shared" si="1"/>
        <v>0</v>
      </c>
      <c r="AP42" s="276"/>
      <c r="AQ42" s="277">
        <f t="shared" si="2"/>
        <v>0</v>
      </c>
      <c r="AR42" s="242"/>
      <c r="AS42" s="242"/>
      <c r="AT42" s="242"/>
      <c r="AU42" s="242"/>
      <c r="AV42" s="242"/>
      <c r="AW42" s="242"/>
      <c r="AX42" s="242"/>
      <c r="AY42" s="242"/>
      <c r="AZ42" s="242"/>
      <c r="BB42" s="242"/>
    </row>
    <row r="43" s="101" customFormat="1" customHeight="1" spans="1:89">
      <c r="A43" s="238">
        <v>24</v>
      </c>
      <c r="C43" s="244"/>
      <c r="I43" s="278" t="s">
        <v>3388</v>
      </c>
      <c r="J43" s="101">
        <v>118.97</v>
      </c>
      <c r="M43" s="239"/>
      <c r="N43" s="242">
        <v>8432.5</v>
      </c>
      <c r="O43" s="157"/>
      <c r="P43" s="275"/>
      <c r="Q43" s="241"/>
      <c r="R43" s="242"/>
      <c r="S43" s="243"/>
      <c r="T43" s="238"/>
      <c r="U43" s="243" t="s">
        <v>267</v>
      </c>
      <c r="V43" s="242"/>
      <c r="X43" s="242"/>
      <c r="Y43" s="241"/>
      <c r="AA43" s="205"/>
      <c r="AB43" s="242"/>
      <c r="AH43" s="242">
        <f t="shared" si="0"/>
        <v>0</v>
      </c>
      <c r="AK43" s="171">
        <f t="shared" si="4"/>
        <v>0</v>
      </c>
      <c r="AM43" s="244"/>
      <c r="AO43" s="101">
        <f t="shared" si="1"/>
        <v>0</v>
      </c>
      <c r="AP43" s="276"/>
      <c r="AQ43" s="277">
        <f t="shared" si="2"/>
        <v>0</v>
      </c>
      <c r="AR43" s="242"/>
      <c r="AS43" s="242"/>
      <c r="AT43" s="242"/>
      <c r="AU43" s="242"/>
      <c r="AV43" s="242"/>
      <c r="AW43" s="242"/>
      <c r="AX43" s="242"/>
      <c r="AY43" s="242"/>
      <c r="AZ43" s="242"/>
      <c r="BB43" s="242"/>
    </row>
    <row r="44" s="125" customFormat="1" customHeight="1" spans="1:89">
      <c r="A44" s="174">
        <v>25</v>
      </c>
      <c r="B44" s="125"/>
      <c r="C44" s="184">
        <v>45932</v>
      </c>
      <c r="D44" s="125">
        <v>20250004985</v>
      </c>
      <c r="F44" s="1037" t="s">
        <v>3389</v>
      </c>
      <c r="G44" s="125" t="s">
        <v>3390</v>
      </c>
      <c r="I44" s="284" t="s">
        <v>3391</v>
      </c>
      <c r="J44" s="125">
        <v>117.6</v>
      </c>
      <c r="K44" s="125">
        <v>117.6</v>
      </c>
      <c r="L44" s="125">
        <v>5140</v>
      </c>
      <c r="M44" s="282">
        <v>604464</v>
      </c>
      <c r="N44" s="223">
        <f>5395.6-300</f>
        <v>5095.6</v>
      </c>
      <c r="O44" s="165">
        <v>554554.13</v>
      </c>
      <c r="P44" s="1038" t="s">
        <v>3392</v>
      </c>
      <c r="Q44" s="210">
        <v>45939</v>
      </c>
      <c r="R44" s="223"/>
      <c r="S44" s="224"/>
      <c r="T44" s="174"/>
      <c r="U44" s="224" t="s">
        <v>3393</v>
      </c>
      <c r="V44" s="223">
        <v>6464</v>
      </c>
      <c r="W44" s="210">
        <v>45931</v>
      </c>
      <c r="X44" s="223">
        <v>115000</v>
      </c>
      <c r="Y44" s="210">
        <v>45947</v>
      </c>
      <c r="Z44" s="125">
        <v>483000</v>
      </c>
      <c r="AA44" s="171">
        <v>45960</v>
      </c>
      <c r="AB44" s="223"/>
      <c r="AH44" s="223">
        <f t="shared" si="0"/>
        <v>604464</v>
      </c>
      <c r="AK44" s="171">
        <f t="shared" si="4"/>
        <v>0</v>
      </c>
      <c r="AM44" s="175" t="s">
        <v>3362</v>
      </c>
      <c r="AO44" s="125">
        <f t="shared" si="1"/>
        <v>604464</v>
      </c>
      <c r="AP44" s="169">
        <f>0.7%+0.03%+0.08%+0.03%</f>
        <v>0.0084</v>
      </c>
      <c r="AQ44" s="283">
        <f t="shared" si="2"/>
        <v>0</v>
      </c>
      <c r="AR44" s="223"/>
      <c r="AS44" s="223"/>
      <c r="AT44" s="223"/>
      <c r="AU44" s="223"/>
      <c r="AV44" s="223"/>
      <c r="AW44" s="223"/>
      <c r="AX44" s="223"/>
      <c r="AY44" s="223"/>
      <c r="AZ44" s="223"/>
      <c r="BB44" s="223"/>
      <c r="BZ44" s="125">
        <v>604464</v>
      </c>
      <c r="CI44" s="125" t="s">
        <v>3258</v>
      </c>
      <c r="CK44" s="125" t="s">
        <v>3376</v>
      </c>
    </row>
    <row r="45" s="125" customFormat="1" customHeight="1" spans="1:89">
      <c r="A45" s="174">
        <v>26</v>
      </c>
      <c r="B45" s="125"/>
      <c r="C45" s="184">
        <v>45952</v>
      </c>
      <c r="D45" s="125">
        <v>20250005407</v>
      </c>
      <c r="F45" s="1037" t="s">
        <v>3394</v>
      </c>
      <c r="G45" s="125" t="s">
        <v>3395</v>
      </c>
      <c r="H45" s="1037" t="s">
        <v>3396</v>
      </c>
      <c r="I45" s="284" t="s">
        <v>3397</v>
      </c>
      <c r="J45" s="125">
        <v>117.6</v>
      </c>
      <c r="K45" s="125">
        <v>117.6</v>
      </c>
      <c r="L45" s="125">
        <v>5102.04</v>
      </c>
      <c r="M45" s="282">
        <v>600000</v>
      </c>
      <c r="N45" s="223">
        <f>5385.6-300</f>
        <v>5085.6</v>
      </c>
      <c r="O45" s="165">
        <v>550458.72</v>
      </c>
      <c r="P45" s="1038" t="s">
        <v>3398</v>
      </c>
      <c r="Q45" s="210">
        <v>45954</v>
      </c>
      <c r="R45" s="223"/>
      <c r="S45" s="224"/>
      <c r="T45" s="174"/>
      <c r="U45" s="224" t="s">
        <v>3393</v>
      </c>
      <c r="V45" s="223">
        <v>20000</v>
      </c>
      <c r="W45" s="224">
        <v>45946</v>
      </c>
      <c r="X45" s="223">
        <v>580000</v>
      </c>
      <c r="Y45" s="210">
        <v>45952</v>
      </c>
      <c r="AA45" s="171"/>
      <c r="AB45" s="223"/>
      <c r="AH45" s="223">
        <f t="shared" si="0"/>
        <v>600000</v>
      </c>
      <c r="AK45" s="171">
        <f t="shared" si="4"/>
        <v>0</v>
      </c>
      <c r="AM45" s="175" t="s">
        <v>3362</v>
      </c>
      <c r="AO45" s="125">
        <f t="shared" si="1"/>
        <v>600000</v>
      </c>
      <c r="AP45" s="169">
        <f>0.7%+0.03%+0.08%+0.03%</f>
        <v>0.0084</v>
      </c>
      <c r="AQ45" s="283">
        <f t="shared" si="2"/>
        <v>0</v>
      </c>
      <c r="AR45" s="223"/>
      <c r="AS45" s="223"/>
      <c r="AT45" s="223"/>
      <c r="AU45" s="223"/>
      <c r="AV45" s="223"/>
      <c r="AW45" s="223"/>
      <c r="AX45" s="223"/>
      <c r="AY45" s="223"/>
      <c r="AZ45" s="223"/>
      <c r="BB45" s="223"/>
      <c r="BZ45" s="125">
        <v>600000</v>
      </c>
      <c r="CI45" s="125" t="s">
        <v>3258</v>
      </c>
      <c r="CK45" s="125" t="s">
        <v>3376</v>
      </c>
    </row>
    <row r="46" s="125" customFormat="1" customHeight="1" spans="1:89">
      <c r="A46" s="174">
        <v>27</v>
      </c>
      <c r="B46" s="125"/>
      <c r="C46" s="184">
        <v>45741</v>
      </c>
      <c r="D46" s="125">
        <v>20250001579</v>
      </c>
      <c r="F46" s="1037" t="s">
        <v>3399</v>
      </c>
      <c r="G46" s="125" t="s">
        <v>3400</v>
      </c>
      <c r="H46" s="1037" t="s">
        <v>3401</v>
      </c>
      <c r="I46" s="284" t="s">
        <v>3402</v>
      </c>
      <c r="J46" s="125">
        <v>117.6</v>
      </c>
      <c r="K46" s="125">
        <v>117.6</v>
      </c>
      <c r="L46" s="125">
        <v>5500</v>
      </c>
      <c r="M46" s="282">
        <v>646800</v>
      </c>
      <c r="N46" s="223">
        <v>5840.88</v>
      </c>
      <c r="O46" s="165">
        <v>593394.5</v>
      </c>
      <c r="P46" s="1038" t="s">
        <v>3403</v>
      </c>
      <c r="Q46" s="210">
        <v>45856</v>
      </c>
      <c r="R46" s="223"/>
      <c r="S46" s="224"/>
      <c r="T46" s="174"/>
      <c r="U46" s="224" t="s">
        <v>3404</v>
      </c>
      <c r="V46" s="223">
        <v>20000</v>
      </c>
      <c r="W46" s="224" t="s">
        <v>3405</v>
      </c>
      <c r="X46" s="223">
        <v>11470</v>
      </c>
      <c r="Y46" s="224" t="s">
        <v>3406</v>
      </c>
      <c r="Z46" s="223">
        <v>66000</v>
      </c>
      <c r="AA46" s="224" t="s">
        <v>795</v>
      </c>
      <c r="AB46" s="223">
        <v>549000</v>
      </c>
      <c r="AC46" s="125" t="s">
        <v>3407</v>
      </c>
      <c r="AD46" s="125">
        <v>330</v>
      </c>
      <c r="AE46" s="125" t="s">
        <v>3252</v>
      </c>
      <c r="AH46" s="223">
        <f t="shared" si="0"/>
        <v>646800</v>
      </c>
      <c r="AK46" s="171">
        <f t="shared" si="4"/>
        <v>0</v>
      </c>
      <c r="AL46" s="125">
        <v>18394530413</v>
      </c>
      <c r="AM46" s="175" t="s">
        <v>3332</v>
      </c>
      <c r="AO46" s="125">
        <f t="shared" si="1"/>
        <v>646800</v>
      </c>
      <c r="AP46" s="169">
        <f>0.6%+0.04%+0.12%+0.03%</f>
        <v>0.0079</v>
      </c>
      <c r="AQ46" s="283">
        <f t="shared" si="2"/>
        <v>0</v>
      </c>
      <c r="AR46" s="223"/>
      <c r="AS46" s="223"/>
      <c r="AT46" s="223"/>
      <c r="AU46" s="223"/>
      <c r="AV46" s="223"/>
      <c r="AW46" s="223"/>
      <c r="AX46" s="223"/>
      <c r="AY46" s="223"/>
      <c r="AZ46" s="223"/>
      <c r="BB46" s="223"/>
      <c r="BT46" s="125">
        <v>646800</v>
      </c>
      <c r="CI46" s="125" t="s">
        <v>260</v>
      </c>
      <c r="CK46" s="125" t="s">
        <v>261</v>
      </c>
    </row>
    <row r="47" s="125" customFormat="1" customHeight="1" spans="1:89">
      <c r="A47" s="174">
        <v>28</v>
      </c>
      <c r="B47" s="125"/>
      <c r="C47" s="184">
        <v>45671</v>
      </c>
      <c r="D47" s="125">
        <v>20250000256</v>
      </c>
      <c r="F47" s="1037" t="s">
        <v>3408</v>
      </c>
      <c r="G47" s="175" t="s">
        <v>3409</v>
      </c>
      <c r="H47" s="1037" t="s">
        <v>2505</v>
      </c>
      <c r="I47" s="284" t="s">
        <v>3410</v>
      </c>
      <c r="J47" s="125">
        <v>117.6</v>
      </c>
      <c r="K47" s="125">
        <v>117.6</v>
      </c>
      <c r="L47" s="125">
        <v>5657.65</v>
      </c>
      <c r="M47" s="282">
        <v>640062</v>
      </c>
      <c r="N47" s="223">
        <v>5785.88</v>
      </c>
      <c r="O47" s="165">
        <v>587212.84</v>
      </c>
      <c r="P47" s="1038" t="s">
        <v>3411</v>
      </c>
      <c r="Q47" s="210">
        <v>45856</v>
      </c>
      <c r="R47" s="223"/>
      <c r="S47" s="224"/>
      <c r="T47" s="174"/>
      <c r="U47" s="224" t="s">
        <v>277</v>
      </c>
      <c r="V47" s="223">
        <v>20000</v>
      </c>
      <c r="W47" s="224" t="s">
        <v>904</v>
      </c>
      <c r="X47" s="223">
        <v>279000</v>
      </c>
      <c r="Y47" s="224" t="s">
        <v>3412</v>
      </c>
      <c r="Z47" s="125">
        <v>1735</v>
      </c>
      <c r="AA47" s="171" t="s">
        <v>3413</v>
      </c>
      <c r="AB47" s="223">
        <v>339000</v>
      </c>
      <c r="AC47" s="224" t="s">
        <v>3298</v>
      </c>
      <c r="AD47" s="223">
        <v>327</v>
      </c>
      <c r="AE47" s="224" t="s">
        <v>3252</v>
      </c>
      <c r="AH47" s="223">
        <f t="shared" si="0"/>
        <v>640062</v>
      </c>
      <c r="AK47" s="171">
        <f t="shared" si="4"/>
        <v>0</v>
      </c>
      <c r="AL47" s="125">
        <v>17609962370</v>
      </c>
      <c r="AM47" s="175" t="s">
        <v>3362</v>
      </c>
      <c r="AO47" s="125">
        <f t="shared" si="1"/>
        <v>639735</v>
      </c>
      <c r="AP47" s="169">
        <f>0.4%+0.03%+0.08%+0.03%</f>
        <v>0.0054</v>
      </c>
      <c r="AQ47" s="283">
        <f t="shared" si="2"/>
        <v>0</v>
      </c>
      <c r="AR47" s="223"/>
      <c r="AS47" s="223"/>
      <c r="AT47" s="223"/>
      <c r="AU47" s="223"/>
      <c r="AV47" s="223"/>
      <c r="AW47" s="223"/>
      <c r="AX47" s="223"/>
      <c r="AY47" s="223"/>
      <c r="AZ47" s="223"/>
      <c r="BB47" s="223"/>
      <c r="BQ47" s="125">
        <v>240735</v>
      </c>
      <c r="BS47" s="125">
        <v>399000</v>
      </c>
      <c r="CI47" s="125" t="s">
        <v>260</v>
      </c>
      <c r="CK47" s="125" t="s">
        <v>261</v>
      </c>
    </row>
    <row r="48" s="125" customFormat="1" customHeight="1" spans="1:89">
      <c r="A48" s="174">
        <v>29</v>
      </c>
      <c r="B48" s="125"/>
      <c r="C48" s="184">
        <v>45780</v>
      </c>
      <c r="D48" s="125">
        <v>20250002457</v>
      </c>
      <c r="F48" s="1037" t="s">
        <v>3414</v>
      </c>
      <c r="G48" s="125" t="s">
        <v>3415</v>
      </c>
      <c r="H48" s="1037" t="s">
        <v>3416</v>
      </c>
      <c r="I48" s="284" t="s">
        <v>3417</v>
      </c>
      <c r="J48" s="125">
        <v>117.6</v>
      </c>
      <c r="K48" s="125">
        <v>117.6</v>
      </c>
      <c r="L48" s="125">
        <v>5850</v>
      </c>
      <c r="M48" s="282">
        <v>687960</v>
      </c>
      <c r="N48" s="223">
        <v>5850</v>
      </c>
      <c r="O48" s="165">
        <v>631155.96</v>
      </c>
      <c r="P48" s="1038" t="s">
        <v>3418</v>
      </c>
      <c r="Q48" s="210">
        <v>45827</v>
      </c>
      <c r="R48" s="223">
        <v>450000</v>
      </c>
      <c r="S48" s="224">
        <v>46111</v>
      </c>
      <c r="T48" s="174"/>
      <c r="U48" s="224" t="s">
        <v>561</v>
      </c>
      <c r="V48" s="223">
        <v>7609</v>
      </c>
      <c r="W48" s="224" t="s">
        <v>3419</v>
      </c>
      <c r="X48" s="223">
        <v>10000</v>
      </c>
      <c r="Y48" s="224" t="s">
        <v>3283</v>
      </c>
      <c r="Z48" s="223">
        <v>351</v>
      </c>
      <c r="AA48" s="224" t="s">
        <v>3368</v>
      </c>
      <c r="AB48" s="223">
        <v>50000</v>
      </c>
      <c r="AC48" s="125" t="s">
        <v>3420</v>
      </c>
      <c r="AD48" s="125">
        <v>50000</v>
      </c>
      <c r="AE48" s="125" t="s">
        <v>3015</v>
      </c>
      <c r="AF48" s="223">
        <f>120000+450000</f>
        <v>570000</v>
      </c>
      <c r="AG48" s="286" t="s">
        <v>3421</v>
      </c>
      <c r="AH48" s="223">
        <f t="shared" si="0"/>
        <v>687960</v>
      </c>
      <c r="AK48" s="171">
        <f t="shared" si="4"/>
        <v>0</v>
      </c>
      <c r="AL48" s="125">
        <v>13999625956</v>
      </c>
      <c r="AM48" s="175" t="s">
        <v>3290</v>
      </c>
      <c r="AO48" s="125">
        <f t="shared" si="1"/>
        <v>687960</v>
      </c>
      <c r="AP48" s="169">
        <f>0.7%+0.03%+0.12%+0.03%</f>
        <v>0.0088</v>
      </c>
      <c r="AQ48" s="283">
        <f t="shared" si="2"/>
        <v>0</v>
      </c>
      <c r="AR48" s="223"/>
      <c r="AS48" s="223"/>
      <c r="AT48" s="223"/>
      <c r="AU48" s="223"/>
      <c r="AV48" s="223"/>
      <c r="AW48" s="223"/>
      <c r="AX48" s="223"/>
      <c r="AY48" s="223"/>
      <c r="AZ48" s="223"/>
      <c r="BB48" s="223"/>
      <c r="BV48" s="125">
        <v>237960</v>
      </c>
      <c r="CE48" s="125">
        <v>450000</v>
      </c>
      <c r="CI48" s="125" t="s">
        <v>260</v>
      </c>
      <c r="CK48" s="125" t="s">
        <v>261</v>
      </c>
    </row>
    <row r="49" s="125" customFormat="1" customHeight="1" spans="1:89">
      <c r="A49" s="174">
        <v>30</v>
      </c>
      <c r="C49" s="184">
        <v>45966</v>
      </c>
      <c r="D49" s="125">
        <v>20250005664</v>
      </c>
      <c r="E49" s="125" t="s">
        <v>3422</v>
      </c>
      <c r="F49" s="1037" t="s">
        <v>3423</v>
      </c>
      <c r="G49" s="125" t="s">
        <v>3424</v>
      </c>
      <c r="I49" s="284" t="s">
        <v>3425</v>
      </c>
      <c r="J49" s="125">
        <v>117.6</v>
      </c>
      <c r="K49" s="125">
        <v>117.6</v>
      </c>
      <c r="M49" s="282">
        <v>727233</v>
      </c>
      <c r="N49" s="223">
        <v>5815.88</v>
      </c>
      <c r="O49" s="165"/>
      <c r="P49" s="287"/>
      <c r="Q49" s="210"/>
      <c r="R49" s="223"/>
      <c r="S49" s="224"/>
      <c r="T49" s="174"/>
      <c r="U49" s="224"/>
      <c r="V49" s="223">
        <v>140000</v>
      </c>
      <c r="W49" s="224">
        <v>45965</v>
      </c>
      <c r="X49" s="223">
        <v>60000</v>
      </c>
      <c r="Y49" s="210">
        <v>45966</v>
      </c>
      <c r="Z49" s="223">
        <v>200000</v>
      </c>
      <c r="AA49" s="224">
        <v>46009</v>
      </c>
      <c r="AB49" s="223">
        <f>95000+105000</f>
        <v>200000</v>
      </c>
      <c r="AC49" s="224">
        <v>45665</v>
      </c>
      <c r="AD49" s="223">
        <v>127233</v>
      </c>
      <c r="AE49" s="224">
        <v>46054</v>
      </c>
      <c r="AH49" s="223">
        <f t="shared" si="0"/>
        <v>727233</v>
      </c>
      <c r="AK49" s="171">
        <f t="shared" si="4"/>
        <v>0</v>
      </c>
      <c r="AM49" s="175"/>
      <c r="AO49" s="125">
        <f t="shared" si="1"/>
        <v>0</v>
      </c>
      <c r="AP49" s="169"/>
      <c r="AQ49" s="283">
        <f t="shared" si="2"/>
        <v>0</v>
      </c>
      <c r="AR49" s="223"/>
      <c r="AS49" s="223"/>
      <c r="AT49" s="223"/>
      <c r="AU49" s="223"/>
      <c r="AV49" s="223"/>
      <c r="AW49" s="223"/>
      <c r="AX49" s="223"/>
      <c r="AY49" s="223"/>
      <c r="AZ49" s="223"/>
      <c r="BB49" s="223"/>
      <c r="CI49" s="125" t="s">
        <v>260</v>
      </c>
      <c r="CK49" s="125" t="s">
        <v>261</v>
      </c>
    </row>
    <row r="50" s="125" customFormat="1" customHeight="1" spans="1:89">
      <c r="A50" s="174">
        <v>31</v>
      </c>
      <c r="B50" s="125"/>
      <c r="C50" s="184">
        <v>45566</v>
      </c>
      <c r="D50" s="125">
        <v>20240005506</v>
      </c>
      <c r="F50" s="125" t="s">
        <v>3426</v>
      </c>
      <c r="G50" s="125" t="s">
        <v>3427</v>
      </c>
      <c r="H50" s="1037" t="s">
        <v>3428</v>
      </c>
      <c r="I50" s="284" t="s">
        <v>3429</v>
      </c>
      <c r="J50" s="125">
        <v>117.6</v>
      </c>
      <c r="K50" s="125">
        <v>117.6</v>
      </c>
      <c r="L50" s="174">
        <v>5785.26</v>
      </c>
      <c r="M50" s="282">
        <v>680347</v>
      </c>
      <c r="N50" s="223">
        <v>5785.265</v>
      </c>
      <c r="O50" s="165">
        <v>624171.56</v>
      </c>
      <c r="P50" s="1038" t="s">
        <v>3430</v>
      </c>
      <c r="Q50" s="210">
        <v>45856</v>
      </c>
      <c r="R50" s="223"/>
      <c r="S50" s="224"/>
      <c r="T50" s="174"/>
      <c r="U50" s="224" t="s">
        <v>380</v>
      </c>
      <c r="V50" s="223">
        <v>110000</v>
      </c>
      <c r="W50" s="224" t="s">
        <v>3431</v>
      </c>
      <c r="X50" s="223">
        <v>140000</v>
      </c>
      <c r="Y50" s="224" t="s">
        <v>258</v>
      </c>
      <c r="Z50" s="223">
        <v>430000</v>
      </c>
      <c r="AA50" s="224" t="s">
        <v>391</v>
      </c>
      <c r="AB50" s="223">
        <v>347</v>
      </c>
      <c r="AC50" s="224" t="s">
        <v>3252</v>
      </c>
      <c r="AH50" s="223">
        <f t="shared" si="0"/>
        <v>680347</v>
      </c>
      <c r="AK50" s="171">
        <f t="shared" ref="AK50:AK62" si="5">M50-AH50</f>
        <v>0</v>
      </c>
      <c r="AL50" s="125">
        <v>18233138794</v>
      </c>
      <c r="AM50" s="175" t="s">
        <v>3432</v>
      </c>
      <c r="AO50" s="125">
        <f t="shared" si="1"/>
        <v>680000</v>
      </c>
      <c r="AP50" s="169">
        <f>0.4%+0.02%+0.1%</f>
        <v>0.0052</v>
      </c>
      <c r="AQ50" s="283">
        <f t="shared" si="2"/>
        <v>0</v>
      </c>
      <c r="AR50" s="223"/>
      <c r="AS50" s="223"/>
      <c r="AT50" s="223"/>
      <c r="AU50" s="223"/>
      <c r="AV50" s="223"/>
      <c r="AW50" s="223"/>
      <c r="AX50" s="223"/>
      <c r="AY50" s="223"/>
      <c r="AZ50" s="223"/>
      <c r="BB50" s="223"/>
      <c r="BN50" s="125">
        <v>250000</v>
      </c>
      <c r="BO50" s="125">
        <v>430000</v>
      </c>
      <c r="CI50" s="125" t="s">
        <v>260</v>
      </c>
      <c r="CK50" s="125" t="s">
        <v>261</v>
      </c>
    </row>
    <row r="51" s="125" customFormat="1" customHeight="1" spans="1:89">
      <c r="A51" s="174">
        <v>32</v>
      </c>
      <c r="C51" s="184">
        <v>45486</v>
      </c>
      <c r="D51" s="125">
        <v>20240003996</v>
      </c>
      <c r="F51" s="1037" t="s">
        <v>3433</v>
      </c>
      <c r="G51" s="125" t="s">
        <v>3434</v>
      </c>
      <c r="I51" s="284" t="s">
        <v>3435</v>
      </c>
      <c r="J51" s="125">
        <v>117.6</v>
      </c>
      <c r="K51" s="125">
        <v>117.6</v>
      </c>
      <c r="L51" s="174">
        <v>5938.4</v>
      </c>
      <c r="M51" s="282">
        <v>698356</v>
      </c>
      <c r="N51" s="223">
        <v>5885.88</v>
      </c>
      <c r="O51" s="165">
        <v>640693.58</v>
      </c>
      <c r="P51" s="1038" t="s">
        <v>3436</v>
      </c>
      <c r="Q51" s="210">
        <v>45856</v>
      </c>
      <c r="R51" s="223"/>
      <c r="S51" s="224"/>
      <c r="T51" s="174"/>
      <c r="U51" s="224" t="s">
        <v>257</v>
      </c>
      <c r="V51" s="223">
        <v>142000</v>
      </c>
      <c r="W51" s="224" t="s">
        <v>3437</v>
      </c>
      <c r="X51" s="223">
        <v>58000</v>
      </c>
      <c r="Y51" s="224" t="s">
        <v>3438</v>
      </c>
      <c r="Z51" s="223">
        <v>498000</v>
      </c>
      <c r="AA51" s="224" t="s">
        <v>358</v>
      </c>
      <c r="AB51" s="223">
        <v>356</v>
      </c>
      <c r="AC51" s="224" t="s">
        <v>3439</v>
      </c>
      <c r="AH51" s="223">
        <f t="shared" si="0"/>
        <v>698356</v>
      </c>
      <c r="AK51" s="171">
        <f t="shared" si="5"/>
        <v>0</v>
      </c>
      <c r="AL51" s="125">
        <v>19180421997</v>
      </c>
      <c r="AM51" s="175"/>
      <c r="AO51" s="125">
        <f t="shared" si="1"/>
        <v>698000</v>
      </c>
      <c r="AP51" s="169">
        <f>0.7%+0.04%+0.08%</f>
        <v>0.0082</v>
      </c>
      <c r="AQ51" s="283">
        <f t="shared" si="2"/>
        <v>0</v>
      </c>
      <c r="AR51" s="223"/>
      <c r="AS51" s="223"/>
      <c r="AT51" s="223"/>
      <c r="AU51" s="223"/>
      <c r="AV51" s="223"/>
      <c r="AW51" s="223"/>
      <c r="AX51" s="223"/>
      <c r="AY51" s="223"/>
      <c r="AZ51" s="223"/>
      <c r="BB51" s="223"/>
      <c r="BN51" s="125">
        <v>200000</v>
      </c>
      <c r="BO51" s="125">
        <v>498000</v>
      </c>
      <c r="CI51" s="125" t="s">
        <v>260</v>
      </c>
      <c r="CK51" s="125" t="s">
        <v>261</v>
      </c>
    </row>
    <row r="52" s="125" customFormat="1" customHeight="1" spans="1:89">
      <c r="A52" s="174">
        <v>33</v>
      </c>
      <c r="B52" s="125"/>
      <c r="C52" s="184">
        <v>45712</v>
      </c>
      <c r="D52" s="125">
        <v>20250000804</v>
      </c>
      <c r="F52" s="1037" t="s">
        <v>3440</v>
      </c>
      <c r="G52" s="175" t="s">
        <v>3441</v>
      </c>
      <c r="H52" s="1037" t="s">
        <v>3442</v>
      </c>
      <c r="I52" s="284" t="s">
        <v>3443</v>
      </c>
      <c r="J52" s="125">
        <v>117.6</v>
      </c>
      <c r="K52" s="125">
        <v>117.6</v>
      </c>
      <c r="L52" s="125">
        <v>5683.17</v>
      </c>
      <c r="M52" s="282">
        <v>668341</v>
      </c>
      <c r="N52" s="223">
        <v>5683.17</v>
      </c>
      <c r="O52" s="165">
        <v>613156.8</v>
      </c>
      <c r="P52" s="1038" t="s">
        <v>3444</v>
      </c>
      <c r="Q52" s="210">
        <v>45856</v>
      </c>
      <c r="R52" s="223"/>
      <c r="S52" s="224"/>
      <c r="T52" s="1038" t="s">
        <v>3445</v>
      </c>
      <c r="U52" s="224" t="s">
        <v>294</v>
      </c>
      <c r="V52" s="223">
        <v>5000</v>
      </c>
      <c r="W52" s="224" t="s">
        <v>3297</v>
      </c>
      <c r="X52" s="223">
        <v>100000</v>
      </c>
      <c r="Y52" s="224" t="s">
        <v>410</v>
      </c>
      <c r="Z52" s="223">
        <v>235000</v>
      </c>
      <c r="AA52" s="125" t="s">
        <v>373</v>
      </c>
      <c r="AB52" s="223">
        <v>200000</v>
      </c>
      <c r="AC52" s="224" t="s">
        <v>3407</v>
      </c>
      <c r="AD52" s="125">
        <v>128000</v>
      </c>
      <c r="AE52" s="125" t="s">
        <v>3446</v>
      </c>
      <c r="AF52" s="125">
        <v>341</v>
      </c>
      <c r="AG52" s="125" t="s">
        <v>2689</v>
      </c>
      <c r="AH52" s="223">
        <f t="shared" si="0"/>
        <v>668341</v>
      </c>
      <c r="AK52" s="171">
        <f t="shared" si="5"/>
        <v>0</v>
      </c>
      <c r="AL52" s="125">
        <v>15026342941</v>
      </c>
      <c r="AM52" s="175" t="s">
        <v>3362</v>
      </c>
      <c r="AO52" s="125">
        <f t="shared" si="1"/>
        <v>668341</v>
      </c>
      <c r="AP52" s="169">
        <f>0.6%+0.1%+0.03%</f>
        <v>0.0073</v>
      </c>
      <c r="AQ52" s="283">
        <f t="shared" si="2"/>
        <v>0</v>
      </c>
      <c r="AR52" s="223"/>
      <c r="AS52" s="223"/>
      <c r="AT52" s="223"/>
      <c r="AU52" s="223"/>
      <c r="AV52" s="223"/>
      <c r="AW52" s="223"/>
      <c r="AX52" s="223"/>
      <c r="AY52" s="223"/>
      <c r="AZ52" s="223"/>
      <c r="BB52" s="223"/>
      <c r="BT52" s="125">
        <v>668341</v>
      </c>
      <c r="CI52" s="125" t="s">
        <v>260</v>
      </c>
      <c r="CK52" s="125" t="s">
        <v>261</v>
      </c>
    </row>
    <row r="53" s="125" customFormat="1" customHeight="1" spans="1:89">
      <c r="A53" s="174">
        <v>34</v>
      </c>
      <c r="B53" s="125"/>
      <c r="C53" s="184">
        <v>45603</v>
      </c>
      <c r="D53" s="125">
        <v>20240006501</v>
      </c>
      <c r="F53" s="1037" t="s">
        <v>3447</v>
      </c>
      <c r="G53" s="125" t="s">
        <v>3448</v>
      </c>
      <c r="I53" s="284" t="s">
        <v>3449</v>
      </c>
      <c r="J53" s="125">
        <v>117.6</v>
      </c>
      <c r="K53" s="125">
        <v>117.6</v>
      </c>
      <c r="L53" s="125">
        <v>5870.34</v>
      </c>
      <c r="M53" s="282">
        <v>690352</v>
      </c>
      <c r="N53" s="223">
        <v>5950.88</v>
      </c>
      <c r="O53" s="165">
        <v>633350.46</v>
      </c>
      <c r="P53" s="1038" t="s">
        <v>3450</v>
      </c>
      <c r="Q53" s="210">
        <v>45856</v>
      </c>
      <c r="R53" s="223"/>
      <c r="S53" s="224"/>
      <c r="T53" s="174"/>
      <c r="U53" s="224" t="s">
        <v>257</v>
      </c>
      <c r="V53" s="223">
        <v>212000</v>
      </c>
      <c r="W53" s="224" t="s">
        <v>3451</v>
      </c>
      <c r="X53" s="223">
        <v>88000</v>
      </c>
      <c r="Y53" s="224" t="s">
        <v>671</v>
      </c>
      <c r="Z53" s="223">
        <v>390000</v>
      </c>
      <c r="AA53" s="224" t="s">
        <v>372</v>
      </c>
      <c r="AB53" s="223">
        <v>352</v>
      </c>
      <c r="AC53" s="224" t="s">
        <v>3252</v>
      </c>
      <c r="AH53" s="223">
        <f t="shared" si="0"/>
        <v>690352</v>
      </c>
      <c r="AK53" s="171">
        <f t="shared" si="5"/>
        <v>0</v>
      </c>
      <c r="AM53" s="175" t="s">
        <v>3284</v>
      </c>
      <c r="AO53" s="125">
        <f t="shared" si="1"/>
        <v>690000</v>
      </c>
      <c r="AP53" s="169">
        <f>0.5%+0.05%+0.08%+0.03%</f>
        <v>0.0066</v>
      </c>
      <c r="AQ53" s="283">
        <f t="shared" si="2"/>
        <v>0</v>
      </c>
      <c r="AR53" s="223"/>
      <c r="AS53" s="223"/>
      <c r="AT53" s="223"/>
      <c r="AU53" s="223"/>
      <c r="AV53" s="223"/>
      <c r="AW53" s="223"/>
      <c r="AX53" s="223"/>
      <c r="AY53" s="223"/>
      <c r="AZ53" s="223"/>
      <c r="BB53" s="223"/>
      <c r="BO53" s="125">
        <v>212000</v>
      </c>
      <c r="BQ53" s="125">
        <v>478000</v>
      </c>
      <c r="CI53" s="125" t="s">
        <v>260</v>
      </c>
      <c r="CK53" s="125" t="s">
        <v>261</v>
      </c>
    </row>
    <row r="54" s="125" customFormat="1" customHeight="1" spans="1:89">
      <c r="A54" s="174">
        <v>35</v>
      </c>
      <c r="B54" s="125"/>
      <c r="C54" s="184">
        <v>45566</v>
      </c>
      <c r="D54" s="125">
        <v>20240005501</v>
      </c>
      <c r="F54" s="125" t="s">
        <v>3452</v>
      </c>
      <c r="G54" s="125" t="s">
        <v>3453</v>
      </c>
      <c r="H54" s="1037" t="s">
        <v>3454</v>
      </c>
      <c r="I54" s="284" t="s">
        <v>3455</v>
      </c>
      <c r="J54" s="125">
        <v>117.6</v>
      </c>
      <c r="K54" s="125">
        <v>117.6</v>
      </c>
      <c r="L54" s="174">
        <v>5819.3</v>
      </c>
      <c r="M54" s="282">
        <v>684349</v>
      </c>
      <c r="N54" s="285">
        <v>5819.295</v>
      </c>
      <c r="O54" s="165">
        <v>627843.12</v>
      </c>
      <c r="P54" s="1038" t="s">
        <v>3456</v>
      </c>
      <c r="Q54" s="210">
        <v>45856</v>
      </c>
      <c r="R54" s="223"/>
      <c r="S54" s="224"/>
      <c r="T54" s="174"/>
      <c r="U54" s="224" t="s">
        <v>267</v>
      </c>
      <c r="V54" s="223">
        <v>20000</v>
      </c>
      <c r="W54" s="224" t="s">
        <v>3431</v>
      </c>
      <c r="X54" s="223">
        <v>217000</v>
      </c>
      <c r="Y54" s="224" t="s">
        <v>258</v>
      </c>
      <c r="Z54" s="125">
        <v>67000</v>
      </c>
      <c r="AA54" s="171" t="s">
        <v>371</v>
      </c>
      <c r="AB54" s="223">
        <v>380000</v>
      </c>
      <c r="AC54" s="224" t="s">
        <v>391</v>
      </c>
      <c r="AD54" s="223">
        <v>349</v>
      </c>
      <c r="AE54" s="224" t="s">
        <v>2689</v>
      </c>
      <c r="AH54" s="223">
        <f t="shared" si="0"/>
        <v>684349</v>
      </c>
      <c r="AK54" s="171">
        <f t="shared" si="5"/>
        <v>0</v>
      </c>
      <c r="AL54" s="125">
        <v>15026057540</v>
      </c>
      <c r="AM54" s="175"/>
      <c r="AO54" s="125">
        <f t="shared" si="1"/>
        <v>684000</v>
      </c>
      <c r="AP54" s="169">
        <f>0.6%+0.1%</f>
        <v>0.007</v>
      </c>
      <c r="AQ54" s="283">
        <f t="shared" si="2"/>
        <v>0</v>
      </c>
      <c r="AR54" s="223"/>
      <c r="AS54" s="223"/>
      <c r="AT54" s="223"/>
      <c r="AU54" s="223"/>
      <c r="AV54" s="223"/>
      <c r="AW54" s="223"/>
      <c r="AX54" s="223"/>
      <c r="AY54" s="223"/>
      <c r="AZ54" s="223"/>
      <c r="BB54" s="223"/>
      <c r="BN54" s="125">
        <v>304000</v>
      </c>
      <c r="BO54" s="125">
        <v>380000</v>
      </c>
      <c r="CI54" s="125" t="s">
        <v>260</v>
      </c>
      <c r="CK54" s="125" t="s">
        <v>261</v>
      </c>
    </row>
    <row r="55" s="125" customFormat="1" customHeight="1" spans="1:89">
      <c r="A55" s="174">
        <v>36</v>
      </c>
      <c r="B55" s="125"/>
      <c r="C55" s="184">
        <v>45566</v>
      </c>
      <c r="D55" s="125">
        <v>20240005494</v>
      </c>
      <c r="F55" s="1037" t="s">
        <v>3457</v>
      </c>
      <c r="G55" s="125" t="s">
        <v>3458</v>
      </c>
      <c r="I55" s="284" t="s">
        <v>3459</v>
      </c>
      <c r="J55" s="125">
        <v>117.6</v>
      </c>
      <c r="K55" s="125">
        <v>117.6</v>
      </c>
      <c r="L55" s="125">
        <v>5650</v>
      </c>
      <c r="M55" s="282">
        <v>664440</v>
      </c>
      <c r="N55" s="223">
        <v>5650</v>
      </c>
      <c r="O55" s="165">
        <v>609577.9</v>
      </c>
      <c r="P55" s="1038" t="s">
        <v>3460</v>
      </c>
      <c r="Q55" s="210">
        <v>45856</v>
      </c>
      <c r="R55" s="223"/>
      <c r="S55" s="224"/>
      <c r="T55" s="174"/>
      <c r="U55" s="224" t="s">
        <v>294</v>
      </c>
      <c r="V55" s="223">
        <v>20000</v>
      </c>
      <c r="W55" s="224" t="s">
        <v>3431</v>
      </c>
      <c r="X55" s="223">
        <f>150000+164101</f>
        <v>314101</v>
      </c>
      <c r="Y55" s="224" t="s">
        <v>258</v>
      </c>
      <c r="Z55" s="223">
        <v>330000</v>
      </c>
      <c r="AA55" s="224" t="s">
        <v>393</v>
      </c>
      <c r="AB55" s="223">
        <v>339</v>
      </c>
      <c r="AC55" s="224" t="s">
        <v>3252</v>
      </c>
      <c r="AH55" s="223">
        <f t="shared" si="0"/>
        <v>664440</v>
      </c>
      <c r="AK55" s="171">
        <f t="shared" si="5"/>
        <v>0</v>
      </c>
      <c r="AL55" s="125">
        <v>18106436811</v>
      </c>
      <c r="AM55" s="175" t="s">
        <v>3461</v>
      </c>
      <c r="AO55" s="125">
        <f t="shared" si="1"/>
        <v>664101</v>
      </c>
      <c r="AP55" s="169">
        <f>0.7%+0.1%</f>
        <v>0.008</v>
      </c>
      <c r="AQ55" s="283">
        <f t="shared" si="2"/>
        <v>0</v>
      </c>
      <c r="AR55" s="223"/>
      <c r="AS55" s="223"/>
      <c r="AT55" s="223"/>
      <c r="AU55" s="223"/>
      <c r="AV55" s="223"/>
      <c r="AW55" s="223"/>
      <c r="AX55" s="223"/>
      <c r="AY55" s="223"/>
      <c r="AZ55" s="223"/>
      <c r="BB55" s="223"/>
      <c r="BO55" s="125">
        <v>664101</v>
      </c>
      <c r="CI55" s="125" t="s">
        <v>260</v>
      </c>
      <c r="CK55" s="125" t="s">
        <v>261</v>
      </c>
    </row>
    <row r="56" s="125" customFormat="1" customHeight="1" spans="1:89">
      <c r="A56" s="174">
        <v>37</v>
      </c>
      <c r="B56" s="125"/>
      <c r="C56" s="184">
        <v>45620</v>
      </c>
      <c r="D56" s="125">
        <v>20240006776</v>
      </c>
      <c r="F56" s="1037" t="s">
        <v>3462</v>
      </c>
      <c r="G56" s="125" t="s">
        <v>3463</v>
      </c>
      <c r="I56" s="284" t="s">
        <v>3464</v>
      </c>
      <c r="J56" s="125">
        <v>117.6</v>
      </c>
      <c r="K56" s="125">
        <v>117.6</v>
      </c>
      <c r="L56" s="125">
        <v>5756.99</v>
      </c>
      <c r="M56" s="282">
        <v>677022</v>
      </c>
      <c r="N56" s="223">
        <v>6075.88</v>
      </c>
      <c r="O56" s="165">
        <v>621121.1</v>
      </c>
      <c r="P56" s="1038" t="s">
        <v>3465</v>
      </c>
      <c r="Q56" s="210">
        <v>45856</v>
      </c>
      <c r="R56" s="223"/>
      <c r="S56" s="224"/>
      <c r="T56" s="174"/>
      <c r="U56" s="224" t="s">
        <v>294</v>
      </c>
      <c r="V56" s="223">
        <v>85677</v>
      </c>
      <c r="W56" s="224" t="s">
        <v>3367</v>
      </c>
      <c r="X56" s="223">
        <v>50000</v>
      </c>
      <c r="Y56" s="224" t="s">
        <v>3466</v>
      </c>
      <c r="Z56" s="223">
        <v>541000</v>
      </c>
      <c r="AA56" s="224" t="s">
        <v>1091</v>
      </c>
      <c r="AB56" s="223">
        <v>345</v>
      </c>
      <c r="AC56" s="224" t="s">
        <v>3275</v>
      </c>
      <c r="AH56" s="223">
        <f t="shared" si="0"/>
        <v>677022</v>
      </c>
      <c r="AK56" s="171">
        <f t="shared" si="5"/>
        <v>0</v>
      </c>
      <c r="AL56" s="125">
        <v>13201019507</v>
      </c>
      <c r="AM56" s="175" t="s">
        <v>3467</v>
      </c>
      <c r="AO56" s="125">
        <f t="shared" si="1"/>
        <v>676677</v>
      </c>
      <c r="AP56" s="169">
        <f>0.6%+0.08%+0.03%</f>
        <v>0.0071</v>
      </c>
      <c r="AQ56" s="283">
        <f t="shared" si="2"/>
        <v>0</v>
      </c>
      <c r="AR56" s="223"/>
      <c r="AS56" s="223"/>
      <c r="AT56" s="223"/>
      <c r="AU56" s="223"/>
      <c r="AV56" s="223"/>
      <c r="AW56" s="223"/>
      <c r="AX56" s="223"/>
      <c r="AY56" s="223"/>
      <c r="AZ56" s="223"/>
      <c r="BB56" s="223"/>
      <c r="BR56" s="125">
        <v>135677</v>
      </c>
      <c r="BS56" s="125">
        <v>541000</v>
      </c>
      <c r="CI56" s="125" t="s">
        <v>260</v>
      </c>
      <c r="CK56" s="125" t="s">
        <v>261</v>
      </c>
    </row>
    <row r="57" s="125" customFormat="1" customHeight="1" spans="1:89">
      <c r="A57" s="174">
        <v>38</v>
      </c>
      <c r="B57" s="125"/>
      <c r="C57" s="184">
        <v>45656</v>
      </c>
      <c r="D57" s="125">
        <v>20240007530</v>
      </c>
      <c r="F57" s="1037" t="s">
        <v>3468</v>
      </c>
      <c r="G57" s="125" t="s">
        <v>3469</v>
      </c>
      <c r="H57" s="1037" t="s">
        <v>3470</v>
      </c>
      <c r="I57" s="284" t="s">
        <v>3471</v>
      </c>
      <c r="J57" s="125">
        <v>117.6</v>
      </c>
      <c r="K57" s="125">
        <v>117.6</v>
      </c>
      <c r="L57" s="125">
        <v>5615.1</v>
      </c>
      <c r="M57" s="282">
        <v>660337</v>
      </c>
      <c r="N57" s="223">
        <v>6020.88</v>
      </c>
      <c r="O57" s="165">
        <v>605813.76</v>
      </c>
      <c r="P57" s="1038" t="s">
        <v>3472</v>
      </c>
      <c r="Q57" s="210">
        <v>45999</v>
      </c>
      <c r="R57" s="223"/>
      <c r="S57" s="224"/>
      <c r="T57" s="174"/>
      <c r="U57" s="224" t="s">
        <v>722</v>
      </c>
      <c r="V57" s="223">
        <v>20000</v>
      </c>
      <c r="W57" s="224" t="s">
        <v>3473</v>
      </c>
      <c r="X57" s="223">
        <v>140000</v>
      </c>
      <c r="Y57" s="210" t="s">
        <v>2126</v>
      </c>
      <c r="Z57" s="223">
        <v>500000</v>
      </c>
      <c r="AA57" s="224" t="s">
        <v>939</v>
      </c>
      <c r="AB57" s="223">
        <v>337</v>
      </c>
      <c r="AC57" s="224" t="s">
        <v>3252</v>
      </c>
      <c r="AH57" s="223">
        <f t="shared" si="0"/>
        <v>660337</v>
      </c>
      <c r="AK57" s="171">
        <f t="shared" si="5"/>
        <v>0</v>
      </c>
      <c r="AL57" s="125">
        <v>15099480279</v>
      </c>
      <c r="AM57" s="175" t="s">
        <v>3362</v>
      </c>
      <c r="AO57" s="125">
        <f t="shared" si="1"/>
        <v>660000</v>
      </c>
      <c r="AP57" s="166">
        <f>0.7%+0.12%+0.03%</f>
        <v>0.0085</v>
      </c>
      <c r="AQ57" s="283">
        <f t="shared" si="2"/>
        <v>0</v>
      </c>
      <c r="AR57" s="223"/>
      <c r="AS57" s="223"/>
      <c r="AT57" s="223"/>
      <c r="AU57" s="223"/>
      <c r="AV57" s="223"/>
      <c r="AW57" s="223"/>
      <c r="AX57" s="223"/>
      <c r="AY57" s="223"/>
      <c r="AZ57" s="223"/>
      <c r="BB57" s="223"/>
      <c r="BP57" s="125">
        <v>160000</v>
      </c>
      <c r="BS57" s="125">
        <v>500000</v>
      </c>
      <c r="CI57" s="125" t="s">
        <v>260</v>
      </c>
      <c r="CK57" s="125" t="s">
        <v>261</v>
      </c>
    </row>
    <row r="58" s="125" customFormat="1" customHeight="1" spans="1:89">
      <c r="A58" s="174">
        <v>39</v>
      </c>
      <c r="B58" s="125"/>
      <c r="C58" s="184">
        <v>45568</v>
      </c>
      <c r="D58" s="125">
        <v>20240005759</v>
      </c>
      <c r="F58" s="1037" t="s">
        <v>3474</v>
      </c>
      <c r="G58" s="125" t="s">
        <v>3475</v>
      </c>
      <c r="H58" s="1037" t="s">
        <v>3476</v>
      </c>
      <c r="I58" s="281" t="s">
        <v>3477</v>
      </c>
      <c r="J58" s="125">
        <v>117.6</v>
      </c>
      <c r="K58" s="125">
        <v>117.6</v>
      </c>
      <c r="L58" s="125">
        <v>5878.85</v>
      </c>
      <c r="M58" s="282">
        <v>691353</v>
      </c>
      <c r="N58" s="223">
        <v>5878.85</v>
      </c>
      <c r="O58" s="165">
        <v>634268.81</v>
      </c>
      <c r="P58" s="1038" t="s">
        <v>3478</v>
      </c>
      <c r="Q58" s="210">
        <v>45856</v>
      </c>
      <c r="R58" s="223"/>
      <c r="S58" s="224"/>
      <c r="T58" s="174"/>
      <c r="U58" s="224" t="s">
        <v>546</v>
      </c>
      <c r="V58" s="223">
        <v>10000</v>
      </c>
      <c r="W58" s="224" t="s">
        <v>258</v>
      </c>
      <c r="X58" s="223">
        <v>311000</v>
      </c>
      <c r="Y58" s="210" t="s">
        <v>770</v>
      </c>
      <c r="Z58" s="223">
        <v>70000</v>
      </c>
      <c r="AA58" s="224" t="s">
        <v>3479</v>
      </c>
      <c r="AB58" s="223">
        <v>300000</v>
      </c>
      <c r="AC58" s="224" t="s">
        <v>1125</v>
      </c>
      <c r="AD58" s="223">
        <v>353</v>
      </c>
      <c r="AE58" s="224" t="s">
        <v>839</v>
      </c>
      <c r="AH58" s="223">
        <f t="shared" si="0"/>
        <v>691353</v>
      </c>
      <c r="AK58" s="171">
        <f t="shared" si="5"/>
        <v>0</v>
      </c>
      <c r="AL58" s="125">
        <v>18699662558</v>
      </c>
      <c r="AM58" s="175"/>
      <c r="AO58" s="125">
        <f t="shared" si="1"/>
        <v>691000</v>
      </c>
      <c r="AP58" s="166">
        <f>0.6%+0.1%</f>
        <v>0.007</v>
      </c>
      <c r="AQ58" s="283">
        <f t="shared" si="2"/>
        <v>0</v>
      </c>
      <c r="AR58" s="223"/>
      <c r="AS58" s="223"/>
      <c r="AT58" s="223"/>
      <c r="AU58" s="223"/>
      <c r="AV58" s="223"/>
      <c r="AW58" s="223"/>
      <c r="AX58" s="223"/>
      <c r="AY58" s="223"/>
      <c r="AZ58" s="223"/>
      <c r="BB58" s="223"/>
      <c r="BN58" s="125">
        <v>321000</v>
      </c>
      <c r="BP58" s="125">
        <v>370000</v>
      </c>
      <c r="CI58" s="125" t="s">
        <v>260</v>
      </c>
      <c r="CK58" s="125" t="s">
        <v>261</v>
      </c>
    </row>
    <row r="59" s="125" customFormat="1" customHeight="1" spans="1:89">
      <c r="A59" s="174">
        <v>40</v>
      </c>
      <c r="B59" s="125"/>
      <c r="C59" s="184">
        <v>45740</v>
      </c>
      <c r="D59" s="125">
        <v>20250001569</v>
      </c>
      <c r="F59" s="1037" t="s">
        <v>3480</v>
      </c>
      <c r="G59" s="125" t="s">
        <v>3481</v>
      </c>
      <c r="H59" s="1037" t="s">
        <v>954</v>
      </c>
      <c r="I59" s="281" t="s">
        <v>3482</v>
      </c>
      <c r="J59" s="125">
        <v>117.6</v>
      </c>
      <c r="K59" s="125">
        <v>117.6</v>
      </c>
      <c r="L59" s="125">
        <v>5785.26</v>
      </c>
      <c r="M59" s="282">
        <v>680347</v>
      </c>
      <c r="N59" s="223">
        <v>5785.26</v>
      </c>
      <c r="O59" s="165">
        <v>624171.56</v>
      </c>
      <c r="P59" s="1038" t="s">
        <v>3483</v>
      </c>
      <c r="Q59" s="210">
        <v>45951</v>
      </c>
      <c r="R59" s="223"/>
      <c r="S59" s="224"/>
      <c r="T59" s="174"/>
      <c r="U59" s="224" t="s">
        <v>294</v>
      </c>
      <c r="V59" s="223">
        <v>20000</v>
      </c>
      <c r="W59" s="224" t="s">
        <v>3484</v>
      </c>
      <c r="X59" s="223">
        <v>64000</v>
      </c>
      <c r="Y59" s="210" t="s">
        <v>939</v>
      </c>
      <c r="Z59" s="223">
        <v>52000</v>
      </c>
      <c r="AA59" s="224" t="s">
        <v>3407</v>
      </c>
      <c r="AB59" s="223">
        <v>347</v>
      </c>
      <c r="AC59" s="224">
        <v>45948</v>
      </c>
      <c r="AD59" s="223">
        <v>544000</v>
      </c>
      <c r="AE59" s="224">
        <v>45972</v>
      </c>
      <c r="AH59" s="223">
        <f t="shared" si="0"/>
        <v>680347</v>
      </c>
      <c r="AK59" s="171">
        <f t="shared" si="5"/>
        <v>0</v>
      </c>
      <c r="AL59" s="125">
        <v>18690138021</v>
      </c>
      <c r="AM59" s="175" t="s">
        <v>3362</v>
      </c>
      <c r="AO59" s="125">
        <f t="shared" si="1"/>
        <v>680347</v>
      </c>
      <c r="AP59" s="169">
        <f>0.7%+0.08%+0.03%</f>
        <v>0.0081</v>
      </c>
      <c r="AQ59" s="283">
        <f t="shared" si="2"/>
        <v>0</v>
      </c>
      <c r="AR59" s="223"/>
      <c r="AS59" s="223"/>
      <c r="AT59" s="223"/>
      <c r="AU59" s="223"/>
      <c r="AV59" s="223"/>
      <c r="AW59" s="223"/>
      <c r="AX59" s="223"/>
      <c r="AY59" s="223"/>
      <c r="AZ59" s="223"/>
      <c r="BB59" s="223"/>
      <c r="BT59" s="125">
        <v>136000</v>
      </c>
      <c r="CA59" s="125">
        <v>544347</v>
      </c>
      <c r="CI59" s="125" t="s">
        <v>260</v>
      </c>
      <c r="CK59" s="125" t="s">
        <v>261</v>
      </c>
    </row>
    <row r="60" s="125" customFormat="1" customHeight="1" spans="1:89">
      <c r="A60" s="174">
        <v>41</v>
      </c>
      <c r="B60" s="125"/>
      <c r="C60" s="184">
        <v>45936</v>
      </c>
      <c r="D60" s="125">
        <v>20250005131</v>
      </c>
      <c r="F60" s="1037" t="s">
        <v>3485</v>
      </c>
      <c r="G60" s="125" t="s">
        <v>3486</v>
      </c>
      <c r="I60" s="284" t="s">
        <v>3487</v>
      </c>
      <c r="J60" s="125">
        <v>117.6</v>
      </c>
      <c r="K60" s="125">
        <v>117.6</v>
      </c>
      <c r="L60" s="125">
        <v>5770.99</v>
      </c>
      <c r="M60" s="282">
        <v>678669</v>
      </c>
      <c r="N60" s="223">
        <v>5770.88</v>
      </c>
      <c r="O60" s="165">
        <v>622632.11</v>
      </c>
      <c r="P60" s="1038" t="s">
        <v>3488</v>
      </c>
      <c r="Q60" s="210">
        <v>45939</v>
      </c>
      <c r="R60" s="223"/>
      <c r="S60" s="224"/>
      <c r="T60" s="174"/>
      <c r="U60" s="224" t="s">
        <v>571</v>
      </c>
      <c r="V60" s="223">
        <f>10000+100000+93669</f>
        <v>203669</v>
      </c>
      <c r="W60" s="224" t="s">
        <v>3489</v>
      </c>
      <c r="X60" s="223">
        <f>75000+400000</f>
        <v>475000</v>
      </c>
      <c r="Y60" s="224" t="s">
        <v>3490</v>
      </c>
      <c r="AA60" s="171"/>
      <c r="AB60" s="223"/>
      <c r="AH60" s="223">
        <f t="shared" si="0"/>
        <v>678669</v>
      </c>
      <c r="AK60" s="171">
        <f t="shared" si="5"/>
        <v>0</v>
      </c>
      <c r="AM60" s="175" t="s">
        <v>3284</v>
      </c>
      <c r="AO60" s="125">
        <f t="shared" si="1"/>
        <v>678669</v>
      </c>
      <c r="AP60" s="169">
        <f>0.7%+0.02%+0.08%+0.03%</f>
        <v>0.0083</v>
      </c>
      <c r="AQ60" s="283">
        <f t="shared" si="2"/>
        <v>0</v>
      </c>
      <c r="AR60" s="223"/>
      <c r="AS60" s="223"/>
      <c r="AT60" s="223"/>
      <c r="AU60" s="223"/>
      <c r="AV60" s="223"/>
      <c r="AW60" s="223"/>
      <c r="AX60" s="223"/>
      <c r="AY60" s="223"/>
      <c r="AZ60" s="223"/>
      <c r="BB60" s="223"/>
      <c r="BZ60" s="125">
        <v>678669</v>
      </c>
      <c r="CI60" s="125" t="s">
        <v>3258</v>
      </c>
      <c r="CK60" s="125" t="s">
        <v>3491</v>
      </c>
    </row>
    <row r="61" s="125" customFormat="1" customHeight="1" spans="1:89">
      <c r="A61" s="174">
        <v>42</v>
      </c>
      <c r="B61" s="125"/>
      <c r="C61" s="184">
        <v>45900</v>
      </c>
      <c r="D61" s="125">
        <v>20250004468</v>
      </c>
      <c r="F61" s="1037" t="s">
        <v>3492</v>
      </c>
      <c r="G61" s="125" t="s">
        <v>3493</v>
      </c>
      <c r="I61" s="281" t="s">
        <v>3494</v>
      </c>
      <c r="J61" s="125">
        <v>117.6</v>
      </c>
      <c r="K61" s="125">
        <v>117.6</v>
      </c>
      <c r="L61" s="125">
        <v>6051.58</v>
      </c>
      <c r="M61" s="282">
        <v>711666</v>
      </c>
      <c r="N61" s="223">
        <v>6051.58</v>
      </c>
      <c r="O61" s="165">
        <v>652904.59</v>
      </c>
      <c r="P61" s="1038" t="s">
        <v>3495</v>
      </c>
      <c r="Q61" s="210">
        <v>45972</v>
      </c>
      <c r="R61" s="223"/>
      <c r="S61" s="224"/>
      <c r="T61" s="174"/>
      <c r="U61" s="224" t="s">
        <v>370</v>
      </c>
      <c r="V61" s="223">
        <v>1666</v>
      </c>
      <c r="W61" s="224">
        <v>45885</v>
      </c>
      <c r="X61" s="223">
        <v>300000</v>
      </c>
      <c r="Y61" s="224">
        <v>45971</v>
      </c>
      <c r="Z61" s="223">
        <v>410000</v>
      </c>
      <c r="AA61" s="224">
        <v>46027</v>
      </c>
      <c r="AB61" s="223"/>
      <c r="AH61" s="223">
        <f t="shared" si="0"/>
        <v>711666</v>
      </c>
      <c r="AK61" s="171">
        <f t="shared" si="5"/>
        <v>0</v>
      </c>
      <c r="AM61" s="175" t="s">
        <v>3496</v>
      </c>
      <c r="AO61" s="125">
        <f t="shared" si="1"/>
        <v>711666</v>
      </c>
      <c r="AP61" s="169">
        <f>0.7%+0.04%+0.08%+0.03%</f>
        <v>0.0085</v>
      </c>
      <c r="AQ61" s="283">
        <f t="shared" si="2"/>
        <v>0</v>
      </c>
      <c r="AR61" s="223"/>
      <c r="AS61" s="223"/>
      <c r="AT61" s="223"/>
      <c r="AU61" s="223"/>
      <c r="AV61" s="223"/>
      <c r="AW61" s="223"/>
      <c r="AX61" s="223"/>
      <c r="AY61" s="223"/>
      <c r="AZ61" s="223"/>
      <c r="BB61" s="223"/>
      <c r="CA61" s="125">
        <v>301666</v>
      </c>
      <c r="CC61" s="125">
        <v>410000</v>
      </c>
      <c r="CI61" s="125" t="s">
        <v>2707</v>
      </c>
      <c r="CK61" s="125" t="s">
        <v>261</v>
      </c>
    </row>
    <row r="62" s="101" customFormat="1" customHeight="1" spans="1:89">
      <c r="A62" s="238">
        <v>43</v>
      </c>
      <c r="B62" s="101"/>
      <c r="C62" s="244"/>
      <c r="I62" s="280" t="s">
        <v>3497</v>
      </c>
      <c r="J62" s="101">
        <v>117.6</v>
      </c>
      <c r="M62" s="239"/>
      <c r="N62" s="242">
        <v>6647.5</v>
      </c>
      <c r="O62" s="157"/>
      <c r="P62" s="275"/>
      <c r="Q62" s="241"/>
      <c r="R62" s="242"/>
      <c r="S62" s="243"/>
      <c r="T62" s="238"/>
      <c r="U62" s="243" t="s">
        <v>571</v>
      </c>
      <c r="X62" s="242"/>
      <c r="Y62" s="241"/>
      <c r="AA62" s="205"/>
      <c r="AB62" s="242"/>
      <c r="AH62" s="223">
        <f t="shared" si="0"/>
        <v>0</v>
      </c>
      <c r="AK62" s="205">
        <f t="shared" si="5"/>
        <v>0</v>
      </c>
      <c r="AM62" s="244"/>
      <c r="AO62" s="101">
        <f t="shared" si="1"/>
        <v>0</v>
      </c>
      <c r="AP62" s="276"/>
      <c r="AQ62" s="277">
        <f t="shared" si="2"/>
        <v>0</v>
      </c>
      <c r="AR62" s="242"/>
      <c r="AS62" s="242"/>
      <c r="AT62" s="242"/>
      <c r="AU62" s="242"/>
      <c r="AV62" s="242"/>
      <c r="AW62" s="242"/>
      <c r="AX62" s="242"/>
      <c r="AY62" s="242"/>
      <c r="AZ62" s="242"/>
      <c r="BB62" s="242"/>
    </row>
    <row r="63" s="101" customFormat="1" customHeight="1" spans="1:89">
      <c r="A63" s="238">
        <v>44</v>
      </c>
      <c r="C63" s="244"/>
      <c r="I63" s="273" t="s">
        <v>3498</v>
      </c>
      <c r="J63" s="101">
        <v>117.6</v>
      </c>
      <c r="M63" s="239"/>
      <c r="N63" s="242">
        <v>7092.5</v>
      </c>
      <c r="O63" s="157"/>
      <c r="P63" s="275"/>
      <c r="Q63" s="241"/>
      <c r="R63" s="242"/>
      <c r="S63" s="243"/>
      <c r="T63" s="238"/>
      <c r="U63" s="224"/>
      <c r="V63" s="242"/>
      <c r="X63" s="242"/>
      <c r="Y63" s="241"/>
      <c r="AA63" s="205"/>
      <c r="AB63" s="242"/>
      <c r="AH63" s="242">
        <f t="shared" si="0"/>
        <v>0</v>
      </c>
      <c r="AK63" s="205"/>
      <c r="AM63" s="244"/>
      <c r="AO63" s="101">
        <f t="shared" si="1"/>
        <v>0</v>
      </c>
      <c r="AP63" s="276"/>
      <c r="AQ63" s="277">
        <f t="shared" si="2"/>
        <v>0</v>
      </c>
      <c r="AR63" s="242"/>
      <c r="AS63" s="242"/>
      <c r="AT63" s="242"/>
      <c r="AU63" s="242"/>
      <c r="AV63" s="242"/>
      <c r="AW63" s="242"/>
      <c r="AX63" s="242"/>
      <c r="AY63" s="242"/>
      <c r="AZ63" s="242"/>
      <c r="BB63" s="242"/>
    </row>
    <row r="64" s="101" customFormat="1" customHeight="1" spans="1:89">
      <c r="A64" s="238">
        <v>45</v>
      </c>
      <c r="C64" s="244"/>
      <c r="I64" s="101" t="s">
        <v>3499</v>
      </c>
      <c r="J64" s="101">
        <v>118.97</v>
      </c>
      <c r="M64" s="239"/>
      <c r="N64" s="242">
        <v>7795.5</v>
      </c>
      <c r="O64" s="157"/>
      <c r="P64" s="275"/>
      <c r="Q64" s="241"/>
      <c r="R64" s="242"/>
      <c r="S64" s="243"/>
      <c r="T64" s="238"/>
      <c r="U64" s="224"/>
      <c r="V64" s="242"/>
      <c r="X64" s="242"/>
      <c r="Y64" s="241"/>
      <c r="AA64" s="205"/>
      <c r="AB64" s="242"/>
      <c r="AH64" s="242">
        <f t="shared" si="0"/>
        <v>0</v>
      </c>
      <c r="AK64" s="205"/>
      <c r="AM64" s="244"/>
      <c r="AO64" s="101">
        <f t="shared" si="1"/>
        <v>0</v>
      </c>
      <c r="AP64" s="276"/>
      <c r="AQ64" s="277">
        <f t="shared" si="2"/>
        <v>0</v>
      </c>
      <c r="AR64" s="242"/>
      <c r="AS64" s="242"/>
      <c r="AT64" s="242"/>
      <c r="AU64" s="242"/>
      <c r="AV64" s="242"/>
      <c r="AW64" s="242"/>
      <c r="AX64" s="242"/>
      <c r="AY64" s="242"/>
      <c r="AZ64" s="242"/>
      <c r="BB64" s="242"/>
    </row>
    <row r="65" s="101" customFormat="1" customHeight="1" spans="1:89">
      <c r="A65" s="238">
        <v>46</v>
      </c>
      <c r="C65" s="244"/>
      <c r="E65" s="101" t="s">
        <v>3500</v>
      </c>
      <c r="I65" s="101" t="s">
        <v>3501</v>
      </c>
      <c r="J65" s="101">
        <v>119.56</v>
      </c>
      <c r="M65" s="239"/>
      <c r="N65" s="242">
        <v>7382.5</v>
      </c>
      <c r="O65" s="157"/>
      <c r="P65" s="275"/>
      <c r="Q65" s="241"/>
      <c r="R65" s="242"/>
      <c r="S65" s="243"/>
      <c r="T65" s="238"/>
      <c r="U65" s="224"/>
      <c r="V65" s="242"/>
      <c r="X65" s="242"/>
      <c r="Y65" s="241"/>
      <c r="AA65" s="205"/>
      <c r="AB65" s="242"/>
      <c r="AH65" s="242">
        <f t="shared" si="0"/>
        <v>0</v>
      </c>
      <c r="AK65" s="205"/>
      <c r="AM65" s="244"/>
      <c r="AO65" s="101">
        <f t="shared" si="1"/>
        <v>0</v>
      </c>
      <c r="AP65" s="276"/>
      <c r="AQ65" s="277">
        <f t="shared" si="2"/>
        <v>0</v>
      </c>
      <c r="AR65" s="242"/>
      <c r="AS65" s="242"/>
      <c r="AT65" s="242"/>
      <c r="AU65" s="242"/>
      <c r="AV65" s="242"/>
      <c r="AW65" s="242"/>
      <c r="AX65" s="242"/>
      <c r="AY65" s="242"/>
      <c r="AZ65" s="242"/>
      <c r="BB65" s="242"/>
    </row>
    <row r="66" s="101" customFormat="1" customHeight="1" spans="1:89">
      <c r="A66" s="238">
        <v>47</v>
      </c>
      <c r="C66" s="244"/>
      <c r="I66" s="101" t="s">
        <v>3502</v>
      </c>
      <c r="J66" s="101">
        <v>117.6</v>
      </c>
      <c r="M66" s="239"/>
      <c r="N66" s="242">
        <v>5725.6</v>
      </c>
      <c r="O66" s="157"/>
      <c r="P66" s="275"/>
      <c r="Q66" s="241"/>
      <c r="R66" s="242"/>
      <c r="S66" s="243"/>
      <c r="T66" s="238"/>
      <c r="U66" s="224"/>
      <c r="V66" s="242"/>
      <c r="X66" s="242"/>
      <c r="Y66" s="241"/>
      <c r="AA66" s="205"/>
      <c r="AB66" s="242"/>
      <c r="AH66" s="242">
        <f t="shared" si="0"/>
        <v>0</v>
      </c>
      <c r="AK66" s="205"/>
      <c r="AM66" s="244"/>
      <c r="AO66" s="101">
        <f t="shared" si="1"/>
        <v>0</v>
      </c>
      <c r="AP66" s="276"/>
      <c r="AQ66" s="277">
        <f t="shared" si="2"/>
        <v>0</v>
      </c>
      <c r="AR66" s="242"/>
      <c r="AS66" s="242"/>
      <c r="AT66" s="242"/>
      <c r="AU66" s="242"/>
      <c r="AV66" s="242"/>
      <c r="AW66" s="242"/>
      <c r="AX66" s="242"/>
      <c r="AY66" s="242"/>
      <c r="AZ66" s="242"/>
      <c r="BB66" s="242"/>
    </row>
    <row r="67" s="125" customFormat="1" customHeight="1" spans="1:89">
      <c r="A67" s="174">
        <v>48</v>
      </c>
      <c r="C67" s="184">
        <v>45792</v>
      </c>
      <c r="D67" s="125">
        <v>20250002746</v>
      </c>
      <c r="E67" s="125" t="s">
        <v>3503</v>
      </c>
      <c r="F67" s="1037" t="s">
        <v>3504</v>
      </c>
      <c r="G67" s="125" t="s">
        <v>3505</v>
      </c>
      <c r="I67" s="125" t="s">
        <v>3506</v>
      </c>
      <c r="J67" s="125">
        <v>117.97</v>
      </c>
      <c r="K67" s="125">
        <v>117.97</v>
      </c>
      <c r="L67" s="125">
        <v>5700</v>
      </c>
      <c r="M67" s="282">
        <v>672429</v>
      </c>
      <c r="N67" s="223">
        <v>5690.6</v>
      </c>
      <c r="O67" s="165">
        <v>616907.34</v>
      </c>
      <c r="P67" s="1038" t="s">
        <v>3507</v>
      </c>
      <c r="Q67" s="210">
        <v>45804</v>
      </c>
      <c r="R67" s="223"/>
      <c r="S67" s="224"/>
      <c r="T67" s="174"/>
      <c r="U67" s="224"/>
      <c r="V67" s="223">
        <f>62087+342</f>
        <v>62429</v>
      </c>
      <c r="W67" s="224" t="s">
        <v>3035</v>
      </c>
      <c r="X67" s="223">
        <v>170000</v>
      </c>
      <c r="Y67" s="210" t="s">
        <v>431</v>
      </c>
      <c r="Z67" s="223">
        <v>440000</v>
      </c>
      <c r="AA67" s="224" t="s">
        <v>3508</v>
      </c>
      <c r="AB67" s="223"/>
      <c r="AH67" s="223">
        <f t="shared" si="0"/>
        <v>672429</v>
      </c>
      <c r="AK67" s="171">
        <f>M67-AH67</f>
        <v>0</v>
      </c>
      <c r="AL67" s="125">
        <v>15276255932</v>
      </c>
      <c r="AM67" s="175"/>
      <c r="AO67" s="125">
        <f t="shared" si="1"/>
        <v>0</v>
      </c>
      <c r="AP67" s="169"/>
      <c r="AQ67" s="283">
        <f t="shared" si="2"/>
        <v>0</v>
      </c>
      <c r="AR67" s="223"/>
      <c r="AS67" s="223"/>
      <c r="AT67" s="223"/>
      <c r="AU67" s="223"/>
      <c r="AV67" s="223"/>
      <c r="AW67" s="223"/>
      <c r="AX67" s="223"/>
      <c r="AY67" s="223"/>
      <c r="AZ67" s="223"/>
      <c r="BB67" s="223"/>
      <c r="CI67" s="125" t="s">
        <v>260</v>
      </c>
      <c r="CK67" s="125" t="s">
        <v>261</v>
      </c>
    </row>
    <row r="68" s="125" customFormat="1" customHeight="1" spans="1:89">
      <c r="A68" s="174">
        <v>49</v>
      </c>
      <c r="B68" s="125"/>
      <c r="C68" s="184">
        <v>45754</v>
      </c>
      <c r="D68" s="125">
        <v>20250001850</v>
      </c>
      <c r="E68" s="125" t="s">
        <v>3509</v>
      </c>
      <c r="F68" s="1037" t="s">
        <v>3510</v>
      </c>
      <c r="G68" s="125" t="s">
        <v>3511</v>
      </c>
      <c r="I68" s="125" t="s">
        <v>3512</v>
      </c>
      <c r="J68" s="125">
        <v>117.6</v>
      </c>
      <c r="K68" s="125">
        <v>117.6</v>
      </c>
      <c r="L68" s="125">
        <v>5700</v>
      </c>
      <c r="M68" s="282">
        <f>342+669978</f>
        <v>670320</v>
      </c>
      <c r="N68" s="223">
        <v>5700</v>
      </c>
      <c r="O68" s="165">
        <v>614972.48</v>
      </c>
      <c r="P68" s="1038" t="s">
        <v>3513</v>
      </c>
      <c r="Q68" s="210">
        <v>45856</v>
      </c>
      <c r="R68" s="223"/>
      <c r="S68" s="224"/>
      <c r="T68" s="174"/>
      <c r="U68" s="224"/>
      <c r="V68" s="223">
        <v>209978</v>
      </c>
      <c r="W68" s="224" t="s">
        <v>3105</v>
      </c>
      <c r="X68" s="223">
        <v>460000</v>
      </c>
      <c r="Y68" s="210" t="s">
        <v>3514</v>
      </c>
      <c r="Z68" s="125">
        <v>342</v>
      </c>
      <c r="AA68" s="171" t="s">
        <v>3283</v>
      </c>
      <c r="AB68" s="223"/>
      <c r="AH68" s="223">
        <f t="shared" si="0"/>
        <v>670320</v>
      </c>
      <c r="AK68" s="171">
        <f>M68-AH68</f>
        <v>0</v>
      </c>
      <c r="AM68" s="175" t="s">
        <v>3284</v>
      </c>
      <c r="AO68" s="125">
        <f t="shared" si="1"/>
        <v>0</v>
      </c>
      <c r="AP68" s="169"/>
      <c r="AQ68" s="283">
        <f t="shared" si="2"/>
        <v>0</v>
      </c>
      <c r="AR68" s="223"/>
      <c r="AS68" s="223"/>
      <c r="AT68" s="223"/>
      <c r="AU68" s="223"/>
      <c r="AV68" s="223"/>
      <c r="AW68" s="223"/>
      <c r="AX68" s="223"/>
      <c r="AY68" s="223"/>
      <c r="AZ68" s="223"/>
      <c r="BB68" s="223"/>
      <c r="CI68" s="125" t="s">
        <v>260</v>
      </c>
      <c r="CK68" s="125" t="s">
        <v>261</v>
      </c>
    </row>
    <row r="69" s="101" customFormat="1" customHeight="1" spans="1:89">
      <c r="A69" s="238">
        <v>50</v>
      </c>
      <c r="C69" s="244"/>
      <c r="I69" s="101" t="s">
        <v>3515</v>
      </c>
      <c r="J69" s="101">
        <v>117.97</v>
      </c>
      <c r="M69" s="239"/>
      <c r="N69" s="242">
        <v>5740.88</v>
      </c>
      <c r="O69" s="157"/>
      <c r="P69" s="174"/>
      <c r="Q69" s="241"/>
      <c r="R69" s="242"/>
      <c r="S69" s="243"/>
      <c r="T69" s="238"/>
      <c r="U69" s="224"/>
      <c r="V69" s="242"/>
      <c r="X69" s="242"/>
      <c r="Y69" s="241"/>
      <c r="AA69" s="205"/>
      <c r="AB69" s="242"/>
      <c r="AH69" s="242">
        <f t="shared" ref="AH69:AH98" si="6">V69+X69+Z69+AB69+AD69+AF69</f>
        <v>0</v>
      </c>
      <c r="AK69" s="205"/>
      <c r="AM69" s="244"/>
      <c r="AO69" s="101">
        <f t="shared" ref="AO69:AO101" si="7">SUM(AZ69:CF69)</f>
        <v>0</v>
      </c>
      <c r="AP69" s="276"/>
      <c r="AQ69" s="277">
        <f t="shared" ref="AQ69:AQ98" si="8">AR69+AS69+AT69+AU69+AV69+AW69+AX69+AY69</f>
        <v>0</v>
      </c>
      <c r="AR69" s="242"/>
      <c r="AS69" s="242"/>
      <c r="AT69" s="242"/>
      <c r="AU69" s="242"/>
      <c r="AV69" s="242"/>
      <c r="AW69" s="242"/>
      <c r="AX69" s="242"/>
      <c r="AY69" s="242"/>
      <c r="AZ69" s="242"/>
      <c r="BB69" s="242"/>
    </row>
    <row r="70" s="125" customFormat="1" customHeight="1" spans="1:89">
      <c r="A70" s="174">
        <v>51</v>
      </c>
      <c r="B70" s="125"/>
      <c r="C70" s="184">
        <v>45796</v>
      </c>
      <c r="D70" s="125">
        <v>20250002393</v>
      </c>
      <c r="F70" s="1037" t="s">
        <v>3516</v>
      </c>
      <c r="G70" s="125" t="s">
        <v>3517</v>
      </c>
      <c r="I70" s="125" t="s">
        <v>3518</v>
      </c>
      <c r="J70" s="125">
        <v>117.6</v>
      </c>
      <c r="K70" s="125">
        <v>117.6</v>
      </c>
      <c r="L70" s="125">
        <v>5790.44</v>
      </c>
      <c r="M70" s="282">
        <v>680956</v>
      </c>
      <c r="N70" s="223">
        <v>5790.44</v>
      </c>
      <c r="O70" s="165">
        <v>624730.28</v>
      </c>
      <c r="P70" s="1038" t="s">
        <v>3519</v>
      </c>
      <c r="Q70" s="210">
        <v>45856</v>
      </c>
      <c r="R70" s="223"/>
      <c r="S70" s="224"/>
      <c r="T70" s="174"/>
      <c r="U70" s="224" t="s">
        <v>561</v>
      </c>
      <c r="V70" s="223">
        <f>20609+347</f>
        <v>20956</v>
      </c>
      <c r="W70" s="224" t="s">
        <v>675</v>
      </c>
      <c r="X70" s="223">
        <v>90000</v>
      </c>
      <c r="Y70" s="210" t="s">
        <v>3520</v>
      </c>
      <c r="Z70" s="125">
        <v>30000</v>
      </c>
      <c r="AA70" s="171" t="s">
        <v>3521</v>
      </c>
      <c r="AB70" s="223">
        <v>540000</v>
      </c>
      <c r="AC70" s="224" t="s">
        <v>839</v>
      </c>
      <c r="AH70" s="223">
        <f t="shared" si="6"/>
        <v>680956</v>
      </c>
      <c r="AK70" s="171">
        <f>M70-AH70</f>
        <v>0</v>
      </c>
      <c r="AL70" s="125">
        <v>17806291715</v>
      </c>
      <c r="AM70" s="175" t="s">
        <v>3522</v>
      </c>
      <c r="AO70" s="125">
        <f t="shared" si="7"/>
        <v>680956</v>
      </c>
      <c r="AP70" s="169">
        <f>0.4%+0.02%+0.08%+0.03%</f>
        <v>0.0053</v>
      </c>
      <c r="AQ70" s="283">
        <f t="shared" si="8"/>
        <v>0</v>
      </c>
      <c r="AR70" s="223"/>
      <c r="AS70" s="223"/>
      <c r="AT70" s="223"/>
      <c r="AU70" s="223"/>
      <c r="AV70" s="223"/>
      <c r="AW70" s="223"/>
      <c r="AX70" s="223"/>
      <c r="AY70" s="223"/>
      <c r="AZ70" s="223"/>
      <c r="BB70" s="223"/>
      <c r="BU70" s="125">
        <v>140956</v>
      </c>
      <c r="BV70" s="125">
        <v>540000</v>
      </c>
      <c r="CI70" s="125" t="s">
        <v>260</v>
      </c>
      <c r="CK70" s="125" t="s">
        <v>261</v>
      </c>
    </row>
    <row r="71" s="125" customFormat="1" customHeight="1" spans="1:89">
      <c r="A71" s="174">
        <v>52</v>
      </c>
      <c r="C71" s="184">
        <v>45823</v>
      </c>
      <c r="D71" s="125">
        <v>20250003109</v>
      </c>
      <c r="E71" s="175" t="s">
        <v>3523</v>
      </c>
      <c r="F71" s="1037" t="s">
        <v>3524</v>
      </c>
      <c r="G71" s="125" t="s">
        <v>3525</v>
      </c>
      <c r="I71" s="125" t="s">
        <v>3526</v>
      </c>
      <c r="J71" s="125">
        <v>117.97</v>
      </c>
      <c r="K71" s="125">
        <v>117.97</v>
      </c>
      <c r="L71" s="125">
        <v>5773.94</v>
      </c>
      <c r="M71" s="282">
        <v>681152</v>
      </c>
      <c r="N71" s="223">
        <v>5770.88</v>
      </c>
      <c r="O71" s="165">
        <v>624910.09</v>
      </c>
      <c r="P71" s="1038" t="s">
        <v>3527</v>
      </c>
      <c r="Q71" s="210">
        <v>45846</v>
      </c>
      <c r="R71" s="223"/>
      <c r="S71" s="224"/>
      <c r="T71" s="174"/>
      <c r="U71" s="224"/>
      <c r="V71" s="223">
        <v>230805</v>
      </c>
      <c r="W71" s="224" t="s">
        <v>1011</v>
      </c>
      <c r="X71" s="223">
        <v>347</v>
      </c>
      <c r="Y71" s="224">
        <v>45846</v>
      </c>
      <c r="Z71" s="125">
        <v>450000</v>
      </c>
      <c r="AA71" s="171" t="s">
        <v>3528</v>
      </c>
      <c r="AB71" s="223"/>
      <c r="AH71" s="223">
        <f t="shared" si="6"/>
        <v>681152</v>
      </c>
      <c r="AK71" s="171">
        <f>M71-AH71</f>
        <v>0</v>
      </c>
      <c r="AM71" s="175"/>
      <c r="AO71" s="125">
        <f t="shared" si="7"/>
        <v>0</v>
      </c>
      <c r="AP71" s="169"/>
      <c r="AQ71" s="283">
        <f t="shared" si="8"/>
        <v>0</v>
      </c>
      <c r="AR71" s="223"/>
      <c r="AS71" s="223"/>
      <c r="AT71" s="223"/>
      <c r="AU71" s="223"/>
      <c r="AV71" s="223"/>
      <c r="AW71" s="223"/>
      <c r="AX71" s="223"/>
      <c r="AY71" s="223"/>
      <c r="AZ71" s="223"/>
      <c r="BB71" s="223"/>
      <c r="CI71" s="125" t="s">
        <v>260</v>
      </c>
      <c r="CK71" s="125" t="s">
        <v>261</v>
      </c>
    </row>
    <row r="72" s="125" customFormat="1" customHeight="1" spans="1:89">
      <c r="A72" s="174">
        <v>53</v>
      </c>
      <c r="B72" s="125"/>
      <c r="C72" s="184">
        <v>45743</v>
      </c>
      <c r="D72" s="125">
        <v>20250001667</v>
      </c>
      <c r="F72" s="1037" t="s">
        <v>3529</v>
      </c>
      <c r="G72" s="125" t="s">
        <v>3530</v>
      </c>
      <c r="H72" s="1037" t="s">
        <v>3531</v>
      </c>
      <c r="I72" s="125" t="s">
        <v>3532</v>
      </c>
      <c r="J72" s="125">
        <v>117.6</v>
      </c>
      <c r="K72" s="125">
        <v>117.6</v>
      </c>
      <c r="L72" s="125">
        <v>5874.48</v>
      </c>
      <c r="M72" s="282">
        <v>690838</v>
      </c>
      <c r="N72" s="223">
        <v>5874.48</v>
      </c>
      <c r="O72" s="165">
        <v>633796.33</v>
      </c>
      <c r="P72" s="1038" t="s">
        <v>3533</v>
      </c>
      <c r="Q72" s="210">
        <v>45856</v>
      </c>
      <c r="R72" s="223"/>
      <c r="S72" s="224"/>
      <c r="T72" s="174"/>
      <c r="U72" s="224" t="s">
        <v>294</v>
      </c>
      <c r="V72" s="223">
        <v>20000</v>
      </c>
      <c r="W72" s="224" t="s">
        <v>3534</v>
      </c>
      <c r="X72" s="223">
        <v>118486</v>
      </c>
      <c r="Y72" s="210" t="s">
        <v>3535</v>
      </c>
      <c r="Z72" s="223">
        <v>552000</v>
      </c>
      <c r="AA72" s="224" t="s">
        <v>3351</v>
      </c>
      <c r="AB72" s="223">
        <v>352</v>
      </c>
      <c r="AC72" s="125" t="s">
        <v>3252</v>
      </c>
      <c r="AH72" s="223">
        <f t="shared" si="6"/>
        <v>690838</v>
      </c>
      <c r="AK72" s="171">
        <f t="shared" ref="AK72:AK85" si="9">M72-AH72</f>
        <v>0</v>
      </c>
      <c r="AL72" s="125">
        <v>15209902158</v>
      </c>
      <c r="AM72" s="175" t="s">
        <v>3536</v>
      </c>
      <c r="AO72" s="125">
        <f t="shared" si="7"/>
        <v>690486</v>
      </c>
      <c r="AP72" s="169">
        <f>0.7%+0.08%+0.03%</f>
        <v>0.0081</v>
      </c>
      <c r="AQ72" s="283">
        <f t="shared" si="8"/>
        <v>0</v>
      </c>
      <c r="AR72" s="223"/>
      <c r="AS72" s="223"/>
      <c r="AT72" s="223"/>
      <c r="AU72" s="223"/>
      <c r="AV72" s="223"/>
      <c r="AW72" s="223"/>
      <c r="AX72" s="223"/>
      <c r="AY72" s="223"/>
      <c r="AZ72" s="223"/>
      <c r="BB72" s="223"/>
      <c r="BS72" s="125">
        <v>138486</v>
      </c>
      <c r="BT72" s="125">
        <v>552000</v>
      </c>
      <c r="CI72" s="125" t="s">
        <v>260</v>
      </c>
      <c r="CK72" s="125" t="s">
        <v>261</v>
      </c>
    </row>
    <row r="73" s="125" customFormat="1" customHeight="1" spans="1:89">
      <c r="A73" s="174">
        <v>54</v>
      </c>
      <c r="B73" s="125"/>
      <c r="C73" s="184">
        <v>45832</v>
      </c>
      <c r="D73" s="125">
        <v>20250003396</v>
      </c>
      <c r="F73" s="1037" t="s">
        <v>3537</v>
      </c>
      <c r="G73" s="175" t="s">
        <v>3538</v>
      </c>
      <c r="H73" s="1037" t="s">
        <v>3539</v>
      </c>
      <c r="I73" s="125" t="s">
        <v>3540</v>
      </c>
      <c r="J73" s="125">
        <v>117.97</v>
      </c>
      <c r="K73" s="125">
        <v>117.97</v>
      </c>
      <c r="L73" s="125">
        <v>5800</v>
      </c>
      <c r="M73" s="282">
        <v>684226</v>
      </c>
      <c r="N73" s="223">
        <v>5800</v>
      </c>
      <c r="O73" s="165">
        <v>627730.28</v>
      </c>
      <c r="P73" s="1038" t="s">
        <v>3541</v>
      </c>
      <c r="Q73" s="210">
        <v>45887</v>
      </c>
      <c r="R73" s="223"/>
      <c r="S73" s="210"/>
      <c r="T73" s="174"/>
      <c r="U73" s="224" t="s">
        <v>257</v>
      </c>
      <c r="V73" s="223">
        <f>20000-20000</f>
        <v>0</v>
      </c>
      <c r="W73" s="224" t="s">
        <v>3542</v>
      </c>
      <c r="X73" s="223">
        <v>10000</v>
      </c>
      <c r="Y73" s="224" t="s">
        <v>1043</v>
      </c>
      <c r="Z73" s="125">
        <f>348+10878+80000</f>
        <v>91226</v>
      </c>
      <c r="AA73" s="171" t="s">
        <v>3543</v>
      </c>
      <c r="AB73" s="223">
        <v>43000</v>
      </c>
      <c r="AC73" s="224">
        <v>45855</v>
      </c>
      <c r="AD73" s="223">
        <v>540000</v>
      </c>
      <c r="AE73" s="210">
        <v>45873</v>
      </c>
      <c r="AH73" s="223">
        <f t="shared" si="6"/>
        <v>684226</v>
      </c>
      <c r="AK73" s="171">
        <f t="shared" si="9"/>
        <v>0</v>
      </c>
      <c r="AM73" s="175" t="s">
        <v>3284</v>
      </c>
      <c r="AO73" s="125">
        <f t="shared" si="7"/>
        <v>684226</v>
      </c>
      <c r="AP73" s="169">
        <f>0.7%+0.05%+0.08%+0.03%</f>
        <v>0.0086</v>
      </c>
      <c r="AQ73" s="283">
        <f t="shared" si="8"/>
        <v>0</v>
      </c>
      <c r="AR73" s="223"/>
      <c r="AS73" s="223"/>
      <c r="AT73" s="223"/>
      <c r="AU73" s="223"/>
      <c r="AV73" s="223"/>
      <c r="AW73" s="223"/>
      <c r="AX73" s="223"/>
      <c r="AY73" s="223"/>
      <c r="AZ73" s="223"/>
      <c r="BB73" s="223"/>
      <c r="BV73" s="125">
        <v>101226</v>
      </c>
      <c r="BX73" s="125">
        <v>583000</v>
      </c>
      <c r="CI73" s="125" t="s">
        <v>260</v>
      </c>
      <c r="CK73" s="125" t="s">
        <v>261</v>
      </c>
    </row>
    <row r="74" s="125" customFormat="1" customHeight="1" spans="1:89">
      <c r="A74" s="174">
        <v>55</v>
      </c>
      <c r="B74" s="125"/>
      <c r="C74" s="184">
        <v>45831</v>
      </c>
      <c r="D74" s="125">
        <v>20250003340</v>
      </c>
      <c r="F74" s="1037" t="s">
        <v>3544</v>
      </c>
      <c r="G74" s="125" t="s">
        <v>3545</v>
      </c>
      <c r="H74" s="1037" t="s">
        <v>3546</v>
      </c>
      <c r="I74" s="125" t="s">
        <v>3547</v>
      </c>
      <c r="J74" s="125">
        <v>117.6</v>
      </c>
      <c r="K74" s="125">
        <v>117.6</v>
      </c>
      <c r="L74" s="125">
        <v>5900</v>
      </c>
      <c r="M74" s="282">
        <v>693840</v>
      </c>
      <c r="N74" s="223">
        <v>5900</v>
      </c>
      <c r="O74" s="165">
        <v>636225.69</v>
      </c>
      <c r="P74" s="1038" t="s">
        <v>3548</v>
      </c>
      <c r="Q74" s="210">
        <v>45868</v>
      </c>
      <c r="R74" s="223"/>
      <c r="S74" s="224"/>
      <c r="T74" s="174"/>
      <c r="U74" s="224" t="s">
        <v>546</v>
      </c>
      <c r="V74" s="223">
        <v>20000</v>
      </c>
      <c r="W74" s="224" t="s">
        <v>3549</v>
      </c>
      <c r="X74" s="223">
        <f>50000+43486</f>
        <v>93486</v>
      </c>
      <c r="Y74" s="224" t="s">
        <v>3550</v>
      </c>
      <c r="Z74" s="223">
        <v>354</v>
      </c>
      <c r="AA74" s="224">
        <v>45839</v>
      </c>
      <c r="AB74" s="223">
        <v>580000</v>
      </c>
      <c r="AC74" s="224">
        <v>45883</v>
      </c>
      <c r="AH74" s="223">
        <f t="shared" si="6"/>
        <v>693840</v>
      </c>
      <c r="AK74" s="171">
        <f t="shared" si="9"/>
        <v>0</v>
      </c>
      <c r="AL74" s="125">
        <v>15693597064</v>
      </c>
      <c r="AM74" s="175" t="s">
        <v>3284</v>
      </c>
      <c r="AO74" s="125">
        <f t="shared" si="7"/>
        <v>693840</v>
      </c>
      <c r="AP74" s="169">
        <f>0.5%+0.08%+0.03%</f>
        <v>0.0061</v>
      </c>
      <c r="AQ74" s="283">
        <f t="shared" si="8"/>
        <v>0</v>
      </c>
      <c r="AR74" s="223"/>
      <c r="AS74" s="223"/>
      <c r="AT74" s="223"/>
      <c r="AU74" s="223"/>
      <c r="AV74" s="223"/>
      <c r="AW74" s="223"/>
      <c r="AX74" s="223"/>
      <c r="AY74" s="223"/>
      <c r="AZ74" s="223"/>
      <c r="BB74" s="223"/>
      <c r="BV74" s="125">
        <v>113486</v>
      </c>
      <c r="BW74" s="125"/>
      <c r="BX74" s="125">
        <v>580354</v>
      </c>
      <c r="CI74" s="125" t="s">
        <v>2707</v>
      </c>
      <c r="CK74" s="125" t="s">
        <v>261</v>
      </c>
    </row>
    <row r="75" s="125" customFormat="1" customHeight="1" spans="1:89">
      <c r="A75" s="174">
        <v>56</v>
      </c>
      <c r="B75" s="125"/>
      <c r="C75" s="184">
        <v>45931</v>
      </c>
      <c r="D75" s="125">
        <v>20250004864</v>
      </c>
      <c r="F75" s="1037" t="s">
        <v>3551</v>
      </c>
      <c r="G75" s="125" t="s">
        <v>3552</v>
      </c>
      <c r="H75" s="1037" t="s">
        <v>3553</v>
      </c>
      <c r="I75" s="125" t="s">
        <v>3554</v>
      </c>
      <c r="J75" s="125">
        <v>117.97</v>
      </c>
      <c r="K75" s="125">
        <v>117.97</v>
      </c>
      <c r="L75" s="125">
        <v>5350</v>
      </c>
      <c r="M75" s="282">
        <v>631140</v>
      </c>
      <c r="N75" s="223">
        <f>5555.084-300</f>
        <v>5255.084</v>
      </c>
      <c r="O75" s="165">
        <v>579027.52</v>
      </c>
      <c r="P75" s="1038" t="s">
        <v>3555</v>
      </c>
      <c r="Q75" s="210">
        <v>45940</v>
      </c>
      <c r="R75" s="223"/>
      <c r="S75" s="224"/>
      <c r="T75" s="174"/>
      <c r="U75" s="224" t="s">
        <v>370</v>
      </c>
      <c r="V75" s="223">
        <f>10000-10000</f>
        <v>0</v>
      </c>
      <c r="W75" s="224" t="s">
        <v>3556</v>
      </c>
      <c r="X75" s="223">
        <f>20000+181140</f>
        <v>201140</v>
      </c>
      <c r="Y75" s="224" t="s">
        <v>3557</v>
      </c>
      <c r="Z75" s="223">
        <v>430000</v>
      </c>
      <c r="AA75" s="224">
        <v>45958</v>
      </c>
      <c r="AB75" s="223"/>
      <c r="AH75" s="223">
        <f t="shared" si="6"/>
        <v>631140</v>
      </c>
      <c r="AK75" s="171">
        <f t="shared" si="9"/>
        <v>0</v>
      </c>
      <c r="AL75" s="125">
        <v>17326372276</v>
      </c>
      <c r="AM75" s="288" t="s">
        <v>3362</v>
      </c>
      <c r="AO75" s="125">
        <f t="shared" si="7"/>
        <v>631140</v>
      </c>
      <c r="AP75" s="169">
        <f>0.7%+0.04%+0.08%+0.03%</f>
        <v>0.0085</v>
      </c>
      <c r="AQ75" s="283">
        <f t="shared" si="8"/>
        <v>0</v>
      </c>
      <c r="AR75" s="223"/>
      <c r="AS75" s="223"/>
      <c r="AT75" s="223"/>
      <c r="AU75" s="223"/>
      <c r="AV75" s="223"/>
      <c r="AW75" s="223"/>
      <c r="AX75" s="223"/>
      <c r="AY75" s="223"/>
      <c r="AZ75" s="223"/>
      <c r="BB75" s="223"/>
      <c r="BZ75" s="125">
        <v>631140</v>
      </c>
      <c r="CI75" s="125" t="s">
        <v>3258</v>
      </c>
      <c r="CK75" s="125" t="s">
        <v>3558</v>
      </c>
    </row>
    <row r="76" s="125" customFormat="1" customHeight="1" spans="1:89">
      <c r="A76" s="174">
        <v>57</v>
      </c>
      <c r="B76" s="125"/>
      <c r="C76" s="184">
        <v>45778</v>
      </c>
      <c r="D76" s="125">
        <v>20250002262</v>
      </c>
      <c r="F76" s="1037" t="s">
        <v>3559</v>
      </c>
      <c r="G76" s="125" t="s">
        <v>3560</v>
      </c>
      <c r="I76" s="125" t="s">
        <v>3561</v>
      </c>
      <c r="J76" s="125">
        <v>117.6</v>
      </c>
      <c r="K76" s="125">
        <v>117.6</v>
      </c>
      <c r="L76" s="125">
        <v>5700.19</v>
      </c>
      <c r="M76" s="282">
        <v>670342</v>
      </c>
      <c r="N76" s="223">
        <v>5700.19</v>
      </c>
      <c r="O76" s="165">
        <v>614992.66</v>
      </c>
      <c r="P76" s="1038" t="s">
        <v>3562</v>
      </c>
      <c r="Q76" s="210">
        <v>45825</v>
      </c>
      <c r="R76" s="223"/>
      <c r="S76" s="224"/>
      <c r="T76" s="174"/>
      <c r="U76" s="224" t="s">
        <v>267</v>
      </c>
      <c r="V76" s="223">
        <v>10000</v>
      </c>
      <c r="W76" s="224" t="s">
        <v>3105</v>
      </c>
      <c r="X76" s="223">
        <f>342+75000</f>
        <v>75342</v>
      </c>
      <c r="Y76" s="224" t="s">
        <v>3563</v>
      </c>
      <c r="Z76" s="125">
        <v>55000</v>
      </c>
      <c r="AA76" s="171" t="s">
        <v>3420</v>
      </c>
      <c r="AB76" s="223">
        <v>530000</v>
      </c>
      <c r="AC76" s="224" t="s">
        <v>3564</v>
      </c>
      <c r="AH76" s="223">
        <f t="shared" si="6"/>
        <v>670342</v>
      </c>
      <c r="AK76" s="171">
        <f t="shared" si="9"/>
        <v>0</v>
      </c>
      <c r="AL76" s="125">
        <v>13596680508</v>
      </c>
      <c r="AM76" s="175" t="s">
        <v>3362</v>
      </c>
      <c r="AO76" s="125">
        <f t="shared" si="7"/>
        <v>670342</v>
      </c>
      <c r="AP76" s="169">
        <f>0.7%+0.08%+0.03%</f>
        <v>0.0081</v>
      </c>
      <c r="AQ76" s="283">
        <f t="shared" si="8"/>
        <v>0</v>
      </c>
      <c r="AR76" s="223"/>
      <c r="AS76" s="223"/>
      <c r="AT76" s="223"/>
      <c r="AU76" s="223"/>
      <c r="AV76" s="223"/>
      <c r="AW76" s="223"/>
      <c r="AX76" s="223"/>
      <c r="AY76" s="223"/>
      <c r="AZ76" s="223"/>
      <c r="BB76" s="223"/>
      <c r="BU76" s="125">
        <v>140342</v>
      </c>
      <c r="BV76" s="125">
        <v>530000</v>
      </c>
      <c r="CI76" s="125" t="s">
        <v>260</v>
      </c>
      <c r="CK76" s="125" t="s">
        <v>261</v>
      </c>
    </row>
    <row r="77" s="125" customFormat="1" customHeight="1" spans="1:89">
      <c r="A77" s="174">
        <v>58</v>
      </c>
      <c r="B77" s="125"/>
      <c r="C77" s="184">
        <v>45778</v>
      </c>
      <c r="D77" s="125">
        <v>20250002223</v>
      </c>
      <c r="F77" s="1037" t="s">
        <v>3565</v>
      </c>
      <c r="G77" s="125" t="s">
        <v>3566</v>
      </c>
      <c r="H77" s="1037" t="s">
        <v>3567</v>
      </c>
      <c r="I77" s="125" t="s">
        <v>3568</v>
      </c>
      <c r="J77" s="125">
        <v>117.97</v>
      </c>
      <c r="K77" s="125">
        <v>117.97</v>
      </c>
      <c r="L77" s="125">
        <v>5894.326</v>
      </c>
      <c r="M77" s="282">
        <v>695354</v>
      </c>
      <c r="N77" s="223">
        <v>5894.326</v>
      </c>
      <c r="O77" s="165">
        <v>637939.45</v>
      </c>
      <c r="P77" s="1038" t="s">
        <v>3569</v>
      </c>
      <c r="Q77" s="210">
        <v>45856</v>
      </c>
      <c r="R77" s="223"/>
      <c r="S77" s="224"/>
      <c r="T77" s="174"/>
      <c r="U77" s="224" t="s">
        <v>370</v>
      </c>
      <c r="V77" s="223">
        <v>20000</v>
      </c>
      <c r="W77" s="224" t="s">
        <v>3570</v>
      </c>
      <c r="X77" s="223">
        <v>675000</v>
      </c>
      <c r="Y77" s="210" t="s">
        <v>1028</v>
      </c>
      <c r="Z77" s="223">
        <v>354</v>
      </c>
      <c r="AA77" s="224" t="s">
        <v>3563</v>
      </c>
      <c r="AB77" s="223"/>
      <c r="AH77" s="223">
        <f t="shared" si="6"/>
        <v>695354</v>
      </c>
      <c r="AK77" s="171">
        <f t="shared" si="9"/>
        <v>0</v>
      </c>
      <c r="AL77" s="125">
        <v>18099774887</v>
      </c>
      <c r="AM77" s="175" t="s">
        <v>3284</v>
      </c>
      <c r="AO77" s="125">
        <f t="shared" si="7"/>
        <v>695354</v>
      </c>
      <c r="AP77" s="169">
        <f>0.4%+0.02%+0.08%+0.03%</f>
        <v>0.0053</v>
      </c>
      <c r="AQ77" s="283">
        <f t="shared" si="8"/>
        <v>0</v>
      </c>
      <c r="AR77" s="223"/>
      <c r="AS77" s="223"/>
      <c r="AT77" s="223"/>
      <c r="AU77" s="223"/>
      <c r="AV77" s="223"/>
      <c r="AW77" s="223"/>
      <c r="AX77" s="223"/>
      <c r="AY77" s="223"/>
      <c r="AZ77" s="223"/>
      <c r="BB77" s="223"/>
      <c r="BU77" s="125">
        <v>695354</v>
      </c>
      <c r="CI77" s="125" t="s">
        <v>260</v>
      </c>
      <c r="CK77" s="125" t="s">
        <v>261</v>
      </c>
    </row>
    <row r="78" s="125" customFormat="1" customHeight="1" spans="1:89">
      <c r="A78" s="174">
        <v>59</v>
      </c>
      <c r="B78" s="125"/>
      <c r="C78" s="184">
        <v>45819</v>
      </c>
      <c r="D78" s="125">
        <v>20250003053</v>
      </c>
      <c r="F78" s="1037" t="s">
        <v>3571</v>
      </c>
      <c r="G78" s="125" t="s">
        <v>3572</v>
      </c>
      <c r="H78" s="1037" t="s">
        <v>3573</v>
      </c>
      <c r="I78" s="125" t="s">
        <v>3574</v>
      </c>
      <c r="J78" s="125">
        <v>117.6</v>
      </c>
      <c r="K78" s="125">
        <v>117.6</v>
      </c>
      <c r="L78" s="125">
        <v>6000</v>
      </c>
      <c r="M78" s="282">
        <v>705600</v>
      </c>
      <c r="N78" s="223">
        <v>6000</v>
      </c>
      <c r="O78" s="165">
        <v>647339.45</v>
      </c>
      <c r="P78" s="1038" t="s">
        <v>3575</v>
      </c>
      <c r="Q78" s="210">
        <v>45910</v>
      </c>
      <c r="R78" s="223"/>
      <c r="S78" s="224"/>
      <c r="T78" s="174"/>
      <c r="U78" s="224" t="s">
        <v>722</v>
      </c>
      <c r="V78" s="223">
        <v>20000</v>
      </c>
      <c r="W78" s="224" t="s">
        <v>3576</v>
      </c>
      <c r="X78" s="223">
        <v>53240</v>
      </c>
      <c r="Y78" s="224" t="s">
        <v>3577</v>
      </c>
      <c r="Z78" s="125">
        <v>72000</v>
      </c>
      <c r="AA78" s="171" t="s">
        <v>3578</v>
      </c>
      <c r="AB78" s="223">
        <v>360</v>
      </c>
      <c r="AC78" s="224">
        <v>45848</v>
      </c>
      <c r="AD78" s="125">
        <v>560000</v>
      </c>
      <c r="AE78" s="125" t="s">
        <v>3528</v>
      </c>
      <c r="AH78" s="223">
        <f t="shared" si="6"/>
        <v>705600</v>
      </c>
      <c r="AK78" s="171">
        <f t="shared" si="9"/>
        <v>0</v>
      </c>
      <c r="AL78" s="125">
        <v>15739367090</v>
      </c>
      <c r="AM78" s="175" t="s">
        <v>3522</v>
      </c>
      <c r="AO78" s="125">
        <f t="shared" si="7"/>
        <v>705240</v>
      </c>
      <c r="AP78" s="169">
        <f>0.4%+0.08%+0.03%</f>
        <v>0.0051</v>
      </c>
      <c r="AQ78" s="283">
        <f t="shared" si="8"/>
        <v>0</v>
      </c>
      <c r="AR78" s="223"/>
      <c r="AS78" s="223"/>
      <c r="AT78" s="223"/>
      <c r="AU78" s="223"/>
      <c r="AV78" s="223"/>
      <c r="AW78" s="223"/>
      <c r="AX78" s="223"/>
      <c r="AY78" s="223"/>
      <c r="AZ78" s="223"/>
      <c r="BB78" s="223"/>
      <c r="BV78" s="125">
        <v>145240</v>
      </c>
      <c r="BW78" s="125">
        <v>560000</v>
      </c>
      <c r="CI78" s="125" t="s">
        <v>260</v>
      </c>
      <c r="CK78" s="125" t="s">
        <v>261</v>
      </c>
    </row>
    <row r="79" s="125" customFormat="1" customHeight="1" spans="1:89">
      <c r="A79" s="174">
        <v>60</v>
      </c>
      <c r="B79" s="125"/>
      <c r="C79" s="184">
        <v>45810</v>
      </c>
      <c r="D79" s="125">
        <v>20250002980</v>
      </c>
      <c r="F79" s="1037" t="s">
        <v>3579</v>
      </c>
      <c r="G79" s="125" t="s">
        <v>3580</v>
      </c>
      <c r="H79" s="1037" t="s">
        <v>3581</v>
      </c>
      <c r="I79" s="125" t="s">
        <v>3582</v>
      </c>
      <c r="J79" s="125">
        <v>117.97</v>
      </c>
      <c r="K79" s="125">
        <v>117.97</v>
      </c>
      <c r="L79" s="125">
        <v>5936.73</v>
      </c>
      <c r="M79" s="282">
        <v>700356</v>
      </c>
      <c r="N79" s="223">
        <v>5936.73</v>
      </c>
      <c r="O79" s="165">
        <v>642528.44</v>
      </c>
      <c r="P79" s="1038" t="s">
        <v>3583</v>
      </c>
      <c r="Q79" s="210">
        <v>45827</v>
      </c>
      <c r="R79" s="223"/>
      <c r="S79" s="224"/>
      <c r="T79" s="174"/>
      <c r="U79" s="224" t="s">
        <v>408</v>
      </c>
      <c r="V79" s="223">
        <v>20000</v>
      </c>
      <c r="W79" s="224" t="s">
        <v>3584</v>
      </c>
      <c r="X79" s="223">
        <v>85000</v>
      </c>
      <c r="Y79" s="210" t="s">
        <v>3585</v>
      </c>
      <c r="Z79" s="223">
        <v>356</v>
      </c>
      <c r="AA79" s="224" t="s">
        <v>839</v>
      </c>
      <c r="AB79" s="223">
        <v>595000</v>
      </c>
      <c r="AC79" s="125" t="s">
        <v>3578</v>
      </c>
      <c r="AH79" s="223">
        <f t="shared" si="6"/>
        <v>700356</v>
      </c>
      <c r="AK79" s="171">
        <f t="shared" si="9"/>
        <v>0</v>
      </c>
      <c r="AL79" s="125">
        <v>17339883754</v>
      </c>
      <c r="AM79" s="175" t="s">
        <v>3522</v>
      </c>
      <c r="AO79" s="125">
        <f t="shared" si="7"/>
        <v>700356</v>
      </c>
      <c r="AP79" s="166">
        <f>0.7%+0.03%+0.08%+0.03%</f>
        <v>0.0084</v>
      </c>
      <c r="AQ79" s="283">
        <f t="shared" si="8"/>
        <v>0</v>
      </c>
      <c r="AR79" s="223"/>
      <c r="AS79" s="223"/>
      <c r="AT79" s="223"/>
      <c r="AU79" s="223"/>
      <c r="AV79" s="223"/>
      <c r="AW79" s="223"/>
      <c r="AX79" s="223"/>
      <c r="AY79" s="223"/>
      <c r="AZ79" s="223"/>
      <c r="BB79" s="223"/>
      <c r="BV79" s="125">
        <v>700356</v>
      </c>
      <c r="CI79" s="125" t="s">
        <v>260</v>
      </c>
      <c r="CK79" s="125" t="s">
        <v>261</v>
      </c>
    </row>
    <row r="80" s="125" customFormat="1" customHeight="1" spans="1:89">
      <c r="A80" s="174">
        <v>61</v>
      </c>
      <c r="B80" s="125"/>
      <c r="C80" s="184">
        <v>45934</v>
      </c>
      <c r="D80" s="125">
        <v>20250005076</v>
      </c>
      <c r="F80" s="1037" t="s">
        <v>3586</v>
      </c>
      <c r="G80" s="125" t="s">
        <v>3587</v>
      </c>
      <c r="H80" s="1037" t="s">
        <v>3588</v>
      </c>
      <c r="I80" s="125" t="s">
        <v>3589</v>
      </c>
      <c r="J80" s="125">
        <v>117.6</v>
      </c>
      <c r="K80" s="125">
        <v>117.6</v>
      </c>
      <c r="L80" s="125">
        <v>5900</v>
      </c>
      <c r="M80" s="282">
        <v>693840</v>
      </c>
      <c r="N80" s="223">
        <v>5900</v>
      </c>
      <c r="O80" s="165">
        <v>636550.46</v>
      </c>
      <c r="P80" s="1038" t="s">
        <v>3590</v>
      </c>
      <c r="Q80" s="210">
        <v>45940</v>
      </c>
      <c r="R80" s="223"/>
      <c r="S80" s="224"/>
      <c r="T80" s="174"/>
      <c r="U80" s="224" t="s">
        <v>2160</v>
      </c>
      <c r="V80" s="223">
        <v>10000</v>
      </c>
      <c r="W80" s="224" t="s">
        <v>3591</v>
      </c>
      <c r="X80" s="223">
        <v>393840</v>
      </c>
      <c r="Y80" s="224">
        <v>45934</v>
      </c>
      <c r="Z80" s="223">
        <v>290000</v>
      </c>
      <c r="AA80" s="224">
        <v>45996</v>
      </c>
      <c r="AB80" s="223"/>
      <c r="AH80" s="223">
        <f t="shared" si="6"/>
        <v>693840</v>
      </c>
      <c r="AK80" s="171">
        <f t="shared" si="9"/>
        <v>0</v>
      </c>
      <c r="AM80" s="175" t="s">
        <v>3522</v>
      </c>
      <c r="AO80" s="125">
        <f t="shared" si="7"/>
        <v>693840</v>
      </c>
      <c r="AP80" s="169">
        <f>0.7%+0.04%+0.08%+0.03%</f>
        <v>0.0085</v>
      </c>
      <c r="AQ80" s="283">
        <f t="shared" si="8"/>
        <v>0</v>
      </c>
      <c r="AR80" s="223"/>
      <c r="AS80" s="223"/>
      <c r="AT80" s="223"/>
      <c r="AU80" s="223"/>
      <c r="AV80" s="223"/>
      <c r="AW80" s="223"/>
      <c r="AX80" s="223"/>
      <c r="AY80" s="223"/>
      <c r="AZ80" s="223"/>
      <c r="BB80" s="223"/>
      <c r="BZ80" s="125">
        <v>693840</v>
      </c>
      <c r="CI80" s="125" t="s">
        <v>3258</v>
      </c>
      <c r="CK80" s="125" t="s">
        <v>261</v>
      </c>
    </row>
    <row r="81" s="125" customFormat="1" customHeight="1" spans="1:89">
      <c r="A81" s="174">
        <v>62</v>
      </c>
      <c r="B81" s="125"/>
      <c r="C81" s="184">
        <v>45845</v>
      </c>
      <c r="D81" s="125">
        <v>20250003608</v>
      </c>
      <c r="F81" s="125" t="s">
        <v>3592</v>
      </c>
      <c r="G81" s="125" t="s">
        <v>3593</v>
      </c>
      <c r="H81" s="1037" t="s">
        <v>3594</v>
      </c>
      <c r="I81" s="125" t="s">
        <v>3595</v>
      </c>
      <c r="J81" s="125">
        <v>117.97</v>
      </c>
      <c r="K81" s="125">
        <v>117.97</v>
      </c>
      <c r="L81" s="125">
        <v>5936.73</v>
      </c>
      <c r="M81" s="282">
        <v>700356</v>
      </c>
      <c r="N81" s="223">
        <v>5936.73</v>
      </c>
      <c r="O81" s="165">
        <v>642528.44</v>
      </c>
      <c r="P81" s="1038" t="s">
        <v>3596</v>
      </c>
      <c r="Q81" s="210">
        <v>45863</v>
      </c>
      <c r="R81" s="223"/>
      <c r="S81" s="224"/>
      <c r="T81" s="174"/>
      <c r="U81" s="224" t="s">
        <v>257</v>
      </c>
      <c r="V81" s="223">
        <v>20000</v>
      </c>
      <c r="W81" s="224" t="s">
        <v>3597</v>
      </c>
      <c r="X81" s="223">
        <f>356+120000</f>
        <v>120356</v>
      </c>
      <c r="Y81" s="224">
        <v>45843</v>
      </c>
      <c r="Z81" s="125">
        <v>560000</v>
      </c>
      <c r="AA81" s="171" t="s">
        <v>3598</v>
      </c>
      <c r="AB81" s="223"/>
      <c r="AH81" s="223">
        <f t="shared" si="6"/>
        <v>700356</v>
      </c>
      <c r="AK81" s="171">
        <f t="shared" si="9"/>
        <v>0</v>
      </c>
      <c r="AL81" s="125">
        <v>13349352127</v>
      </c>
      <c r="AM81" s="175" t="s">
        <v>3284</v>
      </c>
      <c r="AO81" s="125">
        <f t="shared" si="7"/>
        <v>700356</v>
      </c>
      <c r="AP81" s="169">
        <f>0.7%+0.05%+0.08%+0.03%</f>
        <v>0.0086</v>
      </c>
      <c r="AQ81" s="283">
        <f t="shared" si="8"/>
        <v>0</v>
      </c>
      <c r="AR81" s="223"/>
      <c r="AS81" s="223"/>
      <c r="AT81" s="223"/>
      <c r="AU81" s="223"/>
      <c r="AV81" s="223"/>
      <c r="AW81" s="223"/>
      <c r="AX81" s="223"/>
      <c r="AY81" s="223"/>
      <c r="AZ81" s="223"/>
      <c r="BB81" s="223"/>
      <c r="BW81" s="125">
        <v>700356</v>
      </c>
      <c r="CI81" s="125" t="s">
        <v>2707</v>
      </c>
      <c r="CK81" s="125" t="s">
        <v>261</v>
      </c>
    </row>
    <row r="82" s="125" customFormat="1" customHeight="1" spans="1:89">
      <c r="A82" s="174">
        <v>63</v>
      </c>
      <c r="B82" s="125"/>
      <c r="C82" s="184">
        <v>45936</v>
      </c>
      <c r="D82" s="125">
        <v>20250005116</v>
      </c>
      <c r="F82" s="1037" t="s">
        <v>3599</v>
      </c>
      <c r="G82" s="125" t="s">
        <v>3600</v>
      </c>
      <c r="I82" s="125" t="s">
        <v>3601</v>
      </c>
      <c r="J82" s="125">
        <v>117.6</v>
      </c>
      <c r="K82" s="125">
        <v>117.6</v>
      </c>
      <c r="L82" s="125">
        <v>5400</v>
      </c>
      <c r="M82" s="282">
        <v>635040</v>
      </c>
      <c r="N82" s="223">
        <v>5400</v>
      </c>
      <c r="O82" s="165">
        <v>582605.5</v>
      </c>
      <c r="P82" s="1038" t="s">
        <v>3602</v>
      </c>
      <c r="Q82" s="210">
        <v>45951</v>
      </c>
      <c r="R82" s="223"/>
      <c r="S82" s="224"/>
      <c r="T82" s="174"/>
      <c r="U82" s="174" t="s">
        <v>571</v>
      </c>
      <c r="V82" s="223">
        <f>20000+60000+57040</f>
        <v>137040</v>
      </c>
      <c r="W82" s="224" t="s">
        <v>3603</v>
      </c>
      <c r="X82" s="223">
        <v>148000</v>
      </c>
      <c r="Y82" s="224">
        <v>45946</v>
      </c>
      <c r="Z82" s="223">
        <v>350000</v>
      </c>
      <c r="AA82" s="224">
        <v>46000</v>
      </c>
      <c r="AB82" s="223"/>
      <c r="AH82" s="223">
        <f t="shared" si="6"/>
        <v>635040</v>
      </c>
      <c r="AK82" s="171">
        <f t="shared" si="9"/>
        <v>0</v>
      </c>
      <c r="AM82" s="288" t="s">
        <v>3362</v>
      </c>
      <c r="AO82" s="125">
        <f t="shared" si="7"/>
        <v>635040</v>
      </c>
      <c r="AP82" s="169">
        <f>0.7%+0.02%+0.08%+0.03%</f>
        <v>0.0083</v>
      </c>
      <c r="AQ82" s="283">
        <f t="shared" si="8"/>
        <v>0</v>
      </c>
      <c r="AR82" s="223"/>
      <c r="AS82" s="223"/>
      <c r="AT82" s="223"/>
      <c r="AU82" s="223"/>
      <c r="AV82" s="223"/>
      <c r="AW82" s="223"/>
      <c r="AX82" s="223"/>
      <c r="AY82" s="223"/>
      <c r="AZ82" s="223"/>
      <c r="BB82" s="223"/>
      <c r="BZ82" s="125">
        <v>285040</v>
      </c>
      <c r="CB82" s="125">
        <v>350000</v>
      </c>
      <c r="CI82" s="125" t="s">
        <v>3258</v>
      </c>
      <c r="CK82" s="125" t="s">
        <v>261</v>
      </c>
    </row>
    <row r="83" s="125" customFormat="1" customHeight="1" spans="1:89">
      <c r="A83" s="174">
        <v>64</v>
      </c>
      <c r="C83" s="184">
        <v>45911</v>
      </c>
      <c r="D83" s="125">
        <v>20250004613</v>
      </c>
      <c r="E83" s="125" t="s">
        <v>3604</v>
      </c>
      <c r="F83" s="1037" t="s">
        <v>3605</v>
      </c>
      <c r="G83" s="125" t="s">
        <v>3606</v>
      </c>
      <c r="I83" s="125" t="s">
        <v>3607</v>
      </c>
      <c r="J83" s="125">
        <v>117.97</v>
      </c>
      <c r="K83" s="125">
        <v>117.97</v>
      </c>
      <c r="L83" s="125">
        <v>6405</v>
      </c>
      <c r="M83" s="282">
        <v>755598</v>
      </c>
      <c r="N83" s="223">
        <v>6020.88</v>
      </c>
      <c r="O83" s="165">
        <v>693209.17</v>
      </c>
      <c r="P83" s="1038" t="s">
        <v>3608</v>
      </c>
      <c r="Q83" s="210">
        <v>46035</v>
      </c>
      <c r="R83" s="223"/>
      <c r="S83" s="224"/>
      <c r="T83" s="174"/>
      <c r="U83" s="224"/>
      <c r="V83" s="223">
        <v>255598</v>
      </c>
      <c r="W83" s="224">
        <v>45911</v>
      </c>
      <c r="X83" s="223">
        <v>150000</v>
      </c>
      <c r="Y83" s="224">
        <v>45995</v>
      </c>
      <c r="Z83" s="125">
        <v>20000</v>
      </c>
      <c r="AA83" s="171" t="s">
        <v>3609</v>
      </c>
      <c r="AB83" s="223">
        <v>330000</v>
      </c>
      <c r="AC83" s="224">
        <v>46050</v>
      </c>
      <c r="AH83" s="223">
        <f t="shared" si="6"/>
        <v>755598</v>
      </c>
      <c r="AK83" s="171">
        <f t="shared" si="9"/>
        <v>0</v>
      </c>
      <c r="AM83" s="175"/>
      <c r="AO83" s="125">
        <f t="shared" si="7"/>
        <v>0</v>
      </c>
      <c r="AP83" s="169"/>
      <c r="AQ83" s="283">
        <f t="shared" si="8"/>
        <v>0</v>
      </c>
      <c r="AR83" s="223"/>
      <c r="AS83" s="223"/>
      <c r="AT83" s="223"/>
      <c r="AU83" s="223"/>
      <c r="AV83" s="223"/>
      <c r="AW83" s="223"/>
      <c r="AX83" s="223"/>
      <c r="AY83" s="223"/>
      <c r="AZ83" s="223"/>
      <c r="BB83" s="223"/>
      <c r="CI83" s="125" t="s">
        <v>2707</v>
      </c>
      <c r="CK83" s="125" t="s">
        <v>261</v>
      </c>
    </row>
    <row r="84" s="125" customFormat="1" customHeight="1" spans="1:89">
      <c r="A84" s="174">
        <v>65</v>
      </c>
      <c r="B84" s="125"/>
      <c r="C84" s="184">
        <v>45650</v>
      </c>
      <c r="D84" s="125">
        <v>20240007421</v>
      </c>
      <c r="E84" s="125" t="s">
        <v>250</v>
      </c>
      <c r="F84" s="125" t="s">
        <v>3610</v>
      </c>
      <c r="G84" s="125" t="s">
        <v>3611</v>
      </c>
      <c r="I84" s="125" t="s">
        <v>3612</v>
      </c>
      <c r="J84" s="125">
        <v>117.6</v>
      </c>
      <c r="K84" s="125">
        <v>117.6</v>
      </c>
      <c r="L84" s="125">
        <v>6883</v>
      </c>
      <c r="M84" s="282">
        <v>809441</v>
      </c>
      <c r="N84" s="223">
        <v>7082.5</v>
      </c>
      <c r="O84" s="165">
        <v>742606.42</v>
      </c>
      <c r="P84" s="1038" t="s">
        <v>3613</v>
      </c>
      <c r="Q84" s="210">
        <v>45856</v>
      </c>
      <c r="R84" s="223"/>
      <c r="S84" s="224"/>
      <c r="T84" s="174"/>
      <c r="U84" s="224"/>
      <c r="V84" s="223">
        <v>119028</v>
      </c>
      <c r="W84" s="224" t="s">
        <v>504</v>
      </c>
      <c r="X84" s="223">
        <v>60000</v>
      </c>
      <c r="Y84" s="224" t="s">
        <v>3614</v>
      </c>
      <c r="Z84" s="125">
        <v>630000</v>
      </c>
      <c r="AA84" s="171" t="s">
        <v>506</v>
      </c>
      <c r="AB84" s="223">
        <v>413</v>
      </c>
      <c r="AC84" s="224" t="s">
        <v>3252</v>
      </c>
      <c r="AH84" s="223">
        <f t="shared" si="6"/>
        <v>809441</v>
      </c>
      <c r="AK84" s="171">
        <f t="shared" si="9"/>
        <v>0</v>
      </c>
      <c r="AM84" s="175"/>
      <c r="AO84" s="125">
        <f t="shared" si="7"/>
        <v>0</v>
      </c>
      <c r="AP84" s="169"/>
      <c r="AQ84" s="283">
        <f t="shared" si="8"/>
        <v>0</v>
      </c>
      <c r="AR84" s="223"/>
      <c r="AS84" s="223"/>
      <c r="AT84" s="223"/>
      <c r="AU84" s="223"/>
      <c r="AV84" s="223"/>
      <c r="AW84" s="223"/>
      <c r="AX84" s="223"/>
      <c r="AY84" s="223"/>
      <c r="AZ84" s="223"/>
      <c r="BB84" s="223"/>
      <c r="CI84" s="125" t="s">
        <v>260</v>
      </c>
      <c r="CK84" s="125" t="s">
        <v>261</v>
      </c>
    </row>
    <row r="85" s="125" customFormat="1" customHeight="1" spans="1:89">
      <c r="A85" s="174">
        <v>66</v>
      </c>
      <c r="C85" s="184">
        <v>46115</v>
      </c>
      <c r="D85" s="125">
        <v>20260001531</v>
      </c>
      <c r="E85" s="125" t="s">
        <v>3615</v>
      </c>
      <c r="F85" s="1037" t="s">
        <v>3616</v>
      </c>
      <c r="G85" s="125" t="s">
        <v>3617</v>
      </c>
      <c r="I85" s="125" t="s">
        <v>3618</v>
      </c>
      <c r="J85" s="125">
        <v>117.97</v>
      </c>
      <c r="K85" s="125">
        <v>117.97</v>
      </c>
      <c r="L85" s="125">
        <v>7497.34</v>
      </c>
      <c r="M85" s="282">
        <v>884461</v>
      </c>
      <c r="N85" s="223">
        <v>7047.5</v>
      </c>
      <c r="O85" s="165">
        <v>811432.11</v>
      </c>
      <c r="P85" s="1038" t="s">
        <v>3619</v>
      </c>
      <c r="Q85" s="210">
        <v>46120</v>
      </c>
      <c r="R85" s="223"/>
      <c r="S85" s="224"/>
      <c r="T85" s="174"/>
      <c r="U85" s="224"/>
      <c r="V85" s="223"/>
      <c r="X85" s="223"/>
      <c r="Y85" s="210"/>
      <c r="AA85" s="171"/>
      <c r="AB85" s="223"/>
      <c r="AH85" s="223">
        <f t="shared" si="6"/>
        <v>0</v>
      </c>
      <c r="AK85" s="171">
        <f t="shared" si="9"/>
        <v>884461</v>
      </c>
      <c r="AM85" s="175"/>
      <c r="AO85" s="125">
        <f t="shared" si="7"/>
        <v>0</v>
      </c>
      <c r="AP85" s="169"/>
      <c r="AQ85" s="283">
        <f t="shared" si="8"/>
        <v>0</v>
      </c>
      <c r="AR85" s="223"/>
      <c r="AS85" s="223"/>
      <c r="AT85" s="223"/>
      <c r="AU85" s="223"/>
      <c r="AV85" s="223"/>
      <c r="AW85" s="223"/>
      <c r="AX85" s="223"/>
      <c r="AY85" s="223"/>
      <c r="AZ85" s="223"/>
      <c r="BB85" s="223"/>
    </row>
    <row r="86" s="101" customFormat="1" customHeight="1" spans="1:89">
      <c r="C86" s="244"/>
      <c r="I86" s="278" t="s">
        <v>3620</v>
      </c>
      <c r="J86" s="289">
        <v>34.92</v>
      </c>
      <c r="M86" s="239"/>
      <c r="N86" s="242">
        <v>82329</v>
      </c>
      <c r="O86" s="157"/>
      <c r="P86" s="275"/>
      <c r="Q86" s="241"/>
      <c r="R86" s="242"/>
      <c r="S86" s="243"/>
      <c r="T86" s="238"/>
      <c r="U86" s="224"/>
      <c r="V86" s="242"/>
      <c r="X86" s="242"/>
      <c r="Y86" s="241"/>
      <c r="AA86" s="205"/>
      <c r="AB86" s="242"/>
      <c r="AH86" s="242">
        <f t="shared" si="6"/>
        <v>0</v>
      </c>
      <c r="AK86" s="205">
        <f t="shared" ref="AK86:AK104" si="10">M86-AH86</f>
        <v>0</v>
      </c>
      <c r="AM86" s="244"/>
      <c r="AO86" s="101">
        <f t="shared" si="7"/>
        <v>0</v>
      </c>
      <c r="AP86" s="276">
        <v>0.02</v>
      </c>
      <c r="AQ86" s="277">
        <f t="shared" si="8"/>
        <v>0</v>
      </c>
      <c r="AR86" s="242"/>
      <c r="AS86" s="242"/>
      <c r="AT86" s="242"/>
      <c r="AU86" s="242"/>
      <c r="AV86" s="242"/>
      <c r="AW86" s="242"/>
      <c r="AX86" s="242"/>
      <c r="AY86" s="242"/>
      <c r="AZ86" s="242"/>
      <c r="BB86" s="242"/>
    </row>
    <row r="87" s="101" customFormat="1" customHeight="1" spans="1:89">
      <c r="C87" s="244"/>
      <c r="I87" s="273" t="s">
        <v>3621</v>
      </c>
      <c r="J87" s="289">
        <v>39.57</v>
      </c>
      <c r="M87" s="239"/>
      <c r="N87" s="242">
        <v>93287</v>
      </c>
      <c r="O87" s="157"/>
      <c r="P87" s="275"/>
      <c r="Q87" s="241"/>
      <c r="R87" s="242"/>
      <c r="S87" s="243"/>
      <c r="T87" s="238"/>
      <c r="U87" s="224"/>
      <c r="V87" s="242"/>
      <c r="X87" s="242"/>
      <c r="Y87" s="241"/>
      <c r="AA87" s="205"/>
      <c r="AB87" s="242"/>
      <c r="AH87" s="242">
        <f t="shared" si="6"/>
        <v>0</v>
      </c>
      <c r="AK87" s="205">
        <f t="shared" si="10"/>
        <v>0</v>
      </c>
      <c r="AM87" s="244"/>
      <c r="AO87" s="101">
        <f t="shared" si="7"/>
        <v>0</v>
      </c>
      <c r="AP87" s="276">
        <v>0.02</v>
      </c>
      <c r="AQ87" s="277">
        <f t="shared" si="8"/>
        <v>0</v>
      </c>
      <c r="AR87" s="242"/>
      <c r="AS87" s="242"/>
      <c r="AT87" s="242"/>
      <c r="AU87" s="242"/>
      <c r="AV87" s="242"/>
      <c r="AW87" s="242"/>
      <c r="AX87" s="242"/>
      <c r="AY87" s="242"/>
      <c r="AZ87" s="242"/>
      <c r="BB87" s="242"/>
    </row>
    <row r="88" s="101" customFormat="1" customHeight="1" spans="1:89">
      <c r="C88" s="244"/>
      <c r="I88" s="278" t="s">
        <v>3622</v>
      </c>
      <c r="J88" s="289">
        <v>38.6</v>
      </c>
      <c r="M88" s="239"/>
      <c r="N88" s="242">
        <v>91012</v>
      </c>
      <c r="O88" s="157"/>
      <c r="P88" s="275"/>
      <c r="Q88" s="241"/>
      <c r="R88" s="242"/>
      <c r="S88" s="243"/>
      <c r="T88" s="238"/>
      <c r="U88" s="224"/>
      <c r="V88" s="242"/>
      <c r="X88" s="242"/>
      <c r="Y88" s="241"/>
      <c r="AA88" s="205"/>
      <c r="AB88" s="242"/>
      <c r="AH88" s="242">
        <f t="shared" si="6"/>
        <v>0</v>
      </c>
      <c r="AK88" s="205">
        <f t="shared" si="10"/>
        <v>0</v>
      </c>
      <c r="AM88" s="244"/>
      <c r="AO88" s="101">
        <f t="shared" si="7"/>
        <v>0</v>
      </c>
      <c r="AP88" s="276">
        <v>0.02</v>
      </c>
      <c r="AQ88" s="277">
        <f t="shared" si="8"/>
        <v>0</v>
      </c>
      <c r="AR88" s="242"/>
      <c r="AS88" s="242"/>
      <c r="AT88" s="242"/>
      <c r="AU88" s="242"/>
      <c r="AV88" s="242"/>
      <c r="AW88" s="242"/>
      <c r="AX88" s="242"/>
      <c r="AY88" s="242"/>
      <c r="AZ88" s="242"/>
      <c r="BB88" s="242"/>
    </row>
    <row r="89" s="101" customFormat="1" customHeight="1" spans="1:89">
      <c r="C89" s="244"/>
      <c r="I89" s="273" t="s">
        <v>3623</v>
      </c>
      <c r="J89" s="289">
        <v>38.99</v>
      </c>
      <c r="M89" s="239"/>
      <c r="N89" s="242">
        <v>91922</v>
      </c>
      <c r="O89" s="157"/>
      <c r="P89" s="275"/>
      <c r="Q89" s="241"/>
      <c r="R89" s="242"/>
      <c r="S89" s="243"/>
      <c r="T89" s="238"/>
      <c r="U89" s="224"/>
      <c r="V89" s="242"/>
      <c r="X89" s="242"/>
      <c r="Y89" s="241"/>
      <c r="AA89" s="205"/>
      <c r="AB89" s="242"/>
      <c r="AH89" s="242">
        <f t="shared" si="6"/>
        <v>0</v>
      </c>
      <c r="AK89" s="205">
        <f t="shared" si="10"/>
        <v>0</v>
      </c>
      <c r="AM89" s="244"/>
      <c r="AO89" s="101">
        <f t="shared" si="7"/>
        <v>0</v>
      </c>
      <c r="AP89" s="276">
        <v>0.02</v>
      </c>
      <c r="AQ89" s="277">
        <f t="shared" si="8"/>
        <v>0</v>
      </c>
      <c r="AR89" s="242"/>
      <c r="AS89" s="242"/>
      <c r="AT89" s="242"/>
      <c r="AU89" s="242"/>
      <c r="AV89" s="242"/>
      <c r="AW89" s="242"/>
      <c r="AX89" s="242"/>
      <c r="AY89" s="242"/>
      <c r="AZ89" s="242"/>
      <c r="BB89" s="242"/>
    </row>
    <row r="90" s="101" customFormat="1" customHeight="1" spans="1:89">
      <c r="C90" s="244"/>
      <c r="I90" s="278" t="s">
        <v>3624</v>
      </c>
      <c r="J90" s="289">
        <v>32.99</v>
      </c>
      <c r="M90" s="239"/>
      <c r="N90" s="242">
        <v>77780</v>
      </c>
      <c r="O90" s="157"/>
      <c r="P90" s="275"/>
      <c r="Q90" s="241"/>
      <c r="R90" s="242"/>
      <c r="S90" s="243"/>
      <c r="T90" s="238"/>
      <c r="U90" s="224"/>
      <c r="V90" s="242"/>
      <c r="X90" s="242"/>
      <c r="Y90" s="241"/>
      <c r="AA90" s="205"/>
      <c r="AB90" s="242"/>
      <c r="AH90" s="242">
        <f t="shared" si="6"/>
        <v>0</v>
      </c>
      <c r="AK90" s="205">
        <f t="shared" si="10"/>
        <v>0</v>
      </c>
      <c r="AM90" s="244"/>
      <c r="AO90" s="101">
        <f t="shared" si="7"/>
        <v>0</v>
      </c>
      <c r="AP90" s="276">
        <v>0.02</v>
      </c>
      <c r="AQ90" s="277">
        <f t="shared" si="8"/>
        <v>0</v>
      </c>
      <c r="AR90" s="242"/>
      <c r="AS90" s="242"/>
      <c r="AT90" s="242"/>
      <c r="AU90" s="242"/>
      <c r="AV90" s="242"/>
      <c r="AW90" s="242"/>
      <c r="AX90" s="242"/>
      <c r="AY90" s="242"/>
      <c r="AZ90" s="242"/>
      <c r="BB90" s="242"/>
    </row>
    <row r="91" s="101" customFormat="1" customHeight="1" spans="1:89">
      <c r="C91" s="244"/>
      <c r="G91" s="101" t="s">
        <v>3625</v>
      </c>
      <c r="I91" s="278" t="s">
        <v>3626</v>
      </c>
      <c r="J91" s="289">
        <v>22.57</v>
      </c>
      <c r="M91" s="239">
        <v>53218</v>
      </c>
      <c r="N91" s="242">
        <v>53218</v>
      </c>
      <c r="O91" s="157"/>
      <c r="P91" s="275"/>
      <c r="Q91" s="241"/>
      <c r="R91" s="242"/>
      <c r="S91" s="243"/>
      <c r="T91" s="238"/>
      <c r="U91" s="224"/>
      <c r="V91" s="242">
        <v>53218</v>
      </c>
      <c r="W91" s="243" t="s">
        <v>3627</v>
      </c>
      <c r="X91" s="242"/>
      <c r="Y91" s="241"/>
      <c r="AA91" s="205"/>
      <c r="AB91" s="242"/>
      <c r="AH91" s="242">
        <f t="shared" si="6"/>
        <v>53218</v>
      </c>
      <c r="AK91" s="205">
        <f t="shared" si="10"/>
        <v>0</v>
      </c>
      <c r="AM91" s="244"/>
      <c r="AO91" s="101">
        <f t="shared" si="7"/>
        <v>53218</v>
      </c>
      <c r="AP91" s="276">
        <v>0.02</v>
      </c>
      <c r="AQ91" s="277">
        <f t="shared" si="8"/>
        <v>0</v>
      </c>
      <c r="AR91" s="242"/>
      <c r="AS91" s="242"/>
      <c r="AT91" s="242"/>
      <c r="AU91" s="242"/>
      <c r="AV91" s="242"/>
      <c r="AW91" s="242"/>
      <c r="AX91" s="242"/>
      <c r="AY91" s="242"/>
      <c r="AZ91" s="242"/>
      <c r="BB91" s="242"/>
      <c r="BU91" s="101">
        <v>53218</v>
      </c>
    </row>
    <row r="92" s="101" customFormat="1" customHeight="1" spans="1:89">
      <c r="C92" s="244"/>
      <c r="I92" s="278" t="s">
        <v>3628</v>
      </c>
      <c r="J92" s="289">
        <v>17.68</v>
      </c>
      <c r="M92" s="239"/>
      <c r="N92" s="242">
        <v>41681</v>
      </c>
      <c r="O92" s="157"/>
      <c r="P92" s="275"/>
      <c r="Q92" s="241"/>
      <c r="R92" s="242"/>
      <c r="S92" s="243"/>
      <c r="T92" s="238"/>
      <c r="U92" s="224"/>
      <c r="V92" s="242"/>
      <c r="X92" s="242"/>
      <c r="Y92" s="241"/>
      <c r="AA92" s="205"/>
      <c r="AB92" s="242"/>
      <c r="AH92" s="242">
        <f t="shared" si="6"/>
        <v>0</v>
      </c>
      <c r="AK92" s="205">
        <f t="shared" si="10"/>
        <v>0</v>
      </c>
      <c r="AM92" s="244"/>
      <c r="AO92" s="101">
        <f t="shared" si="7"/>
        <v>0</v>
      </c>
      <c r="AP92" s="276">
        <v>0.02</v>
      </c>
      <c r="AQ92" s="277">
        <f t="shared" si="8"/>
        <v>0</v>
      </c>
      <c r="AR92" s="242"/>
      <c r="AS92" s="242"/>
      <c r="AT92" s="242"/>
      <c r="AU92" s="242"/>
      <c r="AV92" s="242"/>
      <c r="AW92" s="242"/>
      <c r="AX92" s="242"/>
      <c r="AY92" s="242"/>
      <c r="AZ92" s="242"/>
      <c r="BB92" s="242"/>
    </row>
    <row r="93" s="101" customFormat="1" customHeight="1" spans="1:89">
      <c r="C93" s="244"/>
      <c r="G93" s="101" t="s">
        <v>3629</v>
      </c>
      <c r="I93" s="278" t="s">
        <v>3630</v>
      </c>
      <c r="J93" s="289">
        <v>15.4</v>
      </c>
      <c r="M93" s="239">
        <v>36306</v>
      </c>
      <c r="N93" s="242">
        <v>36306</v>
      </c>
      <c r="O93" s="157"/>
      <c r="P93" s="275"/>
      <c r="Q93" s="241"/>
      <c r="R93" s="242"/>
      <c r="S93" s="243"/>
      <c r="T93" s="238"/>
      <c r="U93" s="224"/>
      <c r="V93" s="242">
        <v>36306</v>
      </c>
      <c r="W93" s="243" t="s">
        <v>675</v>
      </c>
      <c r="X93" s="242"/>
      <c r="Y93" s="241"/>
      <c r="AA93" s="205"/>
      <c r="AB93" s="242"/>
      <c r="AH93" s="242">
        <f t="shared" si="6"/>
        <v>36306</v>
      </c>
      <c r="AK93" s="205">
        <f t="shared" si="10"/>
        <v>0</v>
      </c>
      <c r="AM93" s="244"/>
      <c r="AO93" s="101">
        <f t="shared" si="7"/>
        <v>36306</v>
      </c>
      <c r="AP93" s="276">
        <v>0.02</v>
      </c>
      <c r="AQ93" s="277">
        <f t="shared" si="8"/>
        <v>0</v>
      </c>
      <c r="AR93" s="242"/>
      <c r="AS93" s="242"/>
      <c r="AT93" s="242"/>
      <c r="AU93" s="242"/>
      <c r="AV93" s="242"/>
      <c r="AW93" s="242"/>
      <c r="AX93" s="242"/>
      <c r="AY93" s="242"/>
      <c r="AZ93" s="242"/>
      <c r="BB93" s="242"/>
      <c r="BU93" s="101">
        <v>36306</v>
      </c>
    </row>
    <row r="94" s="101" customFormat="1" customHeight="1" spans="1:89">
      <c r="C94" s="244"/>
      <c r="I94" s="278" t="s">
        <v>3631</v>
      </c>
      <c r="J94" s="289">
        <v>18.82</v>
      </c>
      <c r="M94" s="239"/>
      <c r="N94" s="242">
        <v>44369</v>
      </c>
      <c r="O94" s="157"/>
      <c r="P94" s="275"/>
      <c r="Q94" s="241"/>
      <c r="R94" s="242"/>
      <c r="S94" s="243"/>
      <c r="T94" s="238"/>
      <c r="U94" s="224"/>
      <c r="V94" s="242"/>
      <c r="X94" s="242"/>
      <c r="Y94" s="241"/>
      <c r="AA94" s="205"/>
      <c r="AB94" s="242"/>
      <c r="AH94" s="242">
        <f t="shared" si="6"/>
        <v>0</v>
      </c>
      <c r="AK94" s="205">
        <f t="shared" si="10"/>
        <v>0</v>
      </c>
      <c r="AM94" s="244"/>
      <c r="AO94" s="101">
        <f t="shared" si="7"/>
        <v>0</v>
      </c>
      <c r="AP94" s="276">
        <v>0.02</v>
      </c>
      <c r="AQ94" s="277">
        <f t="shared" si="8"/>
        <v>0</v>
      </c>
      <c r="AR94" s="242"/>
      <c r="AS94" s="242"/>
      <c r="AT94" s="242"/>
      <c r="AU94" s="242"/>
      <c r="AV94" s="242"/>
      <c r="AW94" s="242"/>
      <c r="AX94" s="242"/>
      <c r="AY94" s="242"/>
      <c r="AZ94" s="242"/>
      <c r="BB94" s="242"/>
    </row>
    <row r="95" s="101" customFormat="1" customHeight="1" spans="1:89">
      <c r="C95" s="244"/>
      <c r="I95" s="278" t="s">
        <v>3632</v>
      </c>
      <c r="J95" s="289">
        <v>10.8</v>
      </c>
      <c r="M95" s="239"/>
      <c r="N95" s="242">
        <v>25472</v>
      </c>
      <c r="O95" s="157"/>
      <c r="P95" s="275"/>
      <c r="Q95" s="241"/>
      <c r="R95" s="242"/>
      <c r="S95" s="243"/>
      <c r="T95" s="238"/>
      <c r="U95" s="224"/>
      <c r="V95" s="242"/>
      <c r="X95" s="242"/>
      <c r="Y95" s="241"/>
      <c r="AA95" s="205"/>
      <c r="AB95" s="242"/>
      <c r="AH95" s="242">
        <f t="shared" si="6"/>
        <v>0</v>
      </c>
      <c r="AK95" s="205">
        <f t="shared" si="10"/>
        <v>0</v>
      </c>
      <c r="AM95" s="244"/>
      <c r="AO95" s="101">
        <f t="shared" si="7"/>
        <v>0</v>
      </c>
      <c r="AP95" s="276">
        <v>0.02</v>
      </c>
      <c r="AQ95" s="277">
        <f t="shared" si="8"/>
        <v>0</v>
      </c>
      <c r="AR95" s="242"/>
      <c r="AS95" s="242"/>
      <c r="AT95" s="242"/>
      <c r="AU95" s="242"/>
      <c r="AV95" s="242"/>
      <c r="AW95" s="242"/>
      <c r="AX95" s="242"/>
      <c r="AY95" s="242"/>
      <c r="AZ95" s="242"/>
      <c r="BB95" s="242"/>
    </row>
    <row r="96" s="101" customFormat="1" customHeight="1" spans="1:89">
      <c r="C96" s="244"/>
      <c r="I96" s="278" t="s">
        <v>3633</v>
      </c>
      <c r="J96" s="289">
        <v>111.7</v>
      </c>
      <c r="M96" s="239"/>
      <c r="N96" s="242">
        <v>263361</v>
      </c>
      <c r="O96" s="157"/>
      <c r="P96" s="275"/>
      <c r="Q96" s="241"/>
      <c r="R96" s="242"/>
      <c r="S96" s="243"/>
      <c r="T96" s="238"/>
      <c r="U96" s="224"/>
      <c r="V96" s="242"/>
      <c r="X96" s="242"/>
      <c r="Y96" s="241"/>
      <c r="AA96" s="205"/>
      <c r="AB96" s="242"/>
      <c r="AH96" s="242">
        <f t="shared" si="6"/>
        <v>0</v>
      </c>
      <c r="AK96" s="205">
        <f t="shared" si="10"/>
        <v>0</v>
      </c>
      <c r="AM96" s="244"/>
      <c r="AO96" s="101">
        <f t="shared" si="7"/>
        <v>0</v>
      </c>
      <c r="AP96" s="276">
        <v>0.02</v>
      </c>
      <c r="AQ96" s="277">
        <f t="shared" si="8"/>
        <v>0</v>
      </c>
      <c r="AR96" s="242"/>
      <c r="AS96" s="242"/>
      <c r="AT96" s="242"/>
      <c r="AU96" s="242"/>
      <c r="AV96" s="242"/>
      <c r="AW96" s="242"/>
      <c r="AX96" s="242"/>
      <c r="AY96" s="242"/>
      <c r="AZ96" s="242"/>
      <c r="BB96" s="242"/>
    </row>
    <row r="97" s="101" customFormat="1" customHeight="1" spans="1:94">
      <c r="C97" s="244"/>
      <c r="G97" s="101" t="s">
        <v>3634</v>
      </c>
      <c r="I97" s="278" t="s">
        <v>3635</v>
      </c>
      <c r="J97" s="289">
        <v>16.87</v>
      </c>
      <c r="M97" s="239">
        <v>39779</v>
      </c>
      <c r="N97" s="242">
        <v>39779</v>
      </c>
      <c r="O97" s="157"/>
      <c r="P97" s="275"/>
      <c r="Q97" s="241"/>
      <c r="R97" s="242"/>
      <c r="S97" s="243"/>
      <c r="T97" s="238"/>
      <c r="U97" s="224"/>
      <c r="V97" s="242">
        <v>39779</v>
      </c>
      <c r="W97" s="243" t="s">
        <v>1043</v>
      </c>
      <c r="X97" s="242"/>
      <c r="Y97" s="241"/>
      <c r="AA97" s="205"/>
      <c r="AB97" s="242"/>
      <c r="AH97" s="242">
        <f t="shared" si="6"/>
        <v>39779</v>
      </c>
      <c r="AK97" s="205">
        <f t="shared" si="10"/>
        <v>0</v>
      </c>
      <c r="AM97" s="244"/>
      <c r="AO97" s="101">
        <f t="shared" si="7"/>
        <v>39779</v>
      </c>
      <c r="AP97" s="276">
        <v>0.02</v>
      </c>
      <c r="AQ97" s="277">
        <f t="shared" si="8"/>
        <v>0</v>
      </c>
      <c r="AR97" s="242"/>
      <c r="AS97" s="242"/>
      <c r="AT97" s="242"/>
      <c r="AU97" s="242"/>
      <c r="AV97" s="242"/>
      <c r="AW97" s="242"/>
      <c r="AX97" s="242"/>
      <c r="AY97" s="242"/>
      <c r="AZ97" s="242"/>
      <c r="BB97" s="242"/>
      <c r="BV97" s="101">
        <v>39779</v>
      </c>
    </row>
    <row r="98" s="101" customFormat="1" customHeight="1" spans="1:94">
      <c r="C98" s="244"/>
      <c r="I98" s="278" t="s">
        <v>3636</v>
      </c>
      <c r="J98" s="289">
        <v>14.28</v>
      </c>
      <c r="M98" s="239"/>
      <c r="N98" s="242" t="s">
        <v>3227</v>
      </c>
      <c r="O98" s="157"/>
      <c r="P98" s="275"/>
      <c r="Q98" s="241"/>
      <c r="R98" s="242"/>
      <c r="S98" s="243"/>
      <c r="T98" s="238"/>
      <c r="U98" s="224"/>
      <c r="V98" s="242"/>
      <c r="X98" s="242"/>
      <c r="Y98" s="241"/>
      <c r="AA98" s="205"/>
      <c r="AB98" s="242"/>
      <c r="AH98" s="242">
        <f t="shared" si="6"/>
        <v>0</v>
      </c>
      <c r="AK98" s="205">
        <f t="shared" si="10"/>
        <v>0</v>
      </c>
      <c r="AM98" s="244"/>
      <c r="AO98" s="101">
        <f t="shared" si="7"/>
        <v>0</v>
      </c>
      <c r="AP98" s="276">
        <v>0.02</v>
      </c>
      <c r="AQ98" s="277">
        <f t="shared" si="8"/>
        <v>0</v>
      </c>
      <c r="AR98" s="242"/>
      <c r="AS98" s="242"/>
      <c r="AT98" s="242"/>
      <c r="AU98" s="242"/>
      <c r="AV98" s="242"/>
      <c r="AW98" s="242"/>
      <c r="AX98" s="242"/>
      <c r="AY98" s="242"/>
      <c r="AZ98" s="242"/>
      <c r="BB98" s="242"/>
    </row>
    <row r="99" s="101" customFormat="1" customHeight="1" spans="1:94">
      <c r="C99" s="244"/>
      <c r="I99" s="290" t="s">
        <v>3637</v>
      </c>
      <c r="J99" s="274">
        <v>391.9</v>
      </c>
      <c r="M99" s="239"/>
      <c r="N99" s="242" t="s">
        <v>3227</v>
      </c>
      <c r="O99" s="157"/>
      <c r="P99" s="275"/>
      <c r="Q99" s="241"/>
      <c r="R99" s="242"/>
      <c r="S99" s="243"/>
      <c r="T99" s="238"/>
      <c r="U99" s="224"/>
      <c r="V99" s="242"/>
      <c r="X99" s="242"/>
      <c r="Y99" s="241"/>
      <c r="AA99" s="205"/>
      <c r="AB99" s="242"/>
      <c r="AH99" s="242"/>
      <c r="AK99" s="205">
        <f t="shared" si="10"/>
        <v>0</v>
      </c>
      <c r="AM99" s="244"/>
      <c r="AO99" s="101">
        <f t="shared" si="7"/>
        <v>0</v>
      </c>
      <c r="AP99" s="276">
        <v>0.02</v>
      </c>
      <c r="AQ99" s="277"/>
      <c r="AR99" s="242"/>
      <c r="AS99" s="242"/>
      <c r="AT99" s="242"/>
      <c r="AU99" s="242"/>
      <c r="AV99" s="242"/>
      <c r="AW99" s="242"/>
      <c r="AX99" s="242"/>
      <c r="AY99" s="242"/>
      <c r="AZ99" s="242"/>
      <c r="BB99" s="242"/>
    </row>
    <row r="100" s="101" customFormat="1" customHeight="1" spans="1:94">
      <c r="C100" s="244"/>
      <c r="G100" s="101" t="s">
        <v>3638</v>
      </c>
      <c r="I100" s="290" t="s">
        <v>3639</v>
      </c>
      <c r="J100" s="289">
        <v>20.2</v>
      </c>
      <c r="M100" s="239">
        <v>47635</v>
      </c>
      <c r="N100" s="242">
        <v>47635</v>
      </c>
      <c r="O100" s="157"/>
      <c r="P100" s="275"/>
      <c r="Q100" s="241"/>
      <c r="R100" s="242"/>
      <c r="S100" s="243"/>
      <c r="T100" s="238"/>
      <c r="U100" s="224"/>
      <c r="V100" s="242">
        <v>47635</v>
      </c>
      <c r="W100" s="243" t="s">
        <v>3640</v>
      </c>
      <c r="X100" s="242"/>
      <c r="Y100" s="241"/>
      <c r="AA100" s="205"/>
      <c r="AB100" s="242"/>
      <c r="AH100" s="242">
        <f>V100+X100+Z100+AB100+AD100+AF100</f>
        <v>47635</v>
      </c>
      <c r="AK100" s="205">
        <f t="shared" si="10"/>
        <v>0</v>
      </c>
      <c r="AM100" s="244"/>
      <c r="AO100" s="101">
        <f t="shared" si="7"/>
        <v>47635</v>
      </c>
      <c r="AP100" s="276">
        <v>0.02</v>
      </c>
      <c r="AQ100" s="277"/>
      <c r="AR100" s="242"/>
      <c r="AS100" s="242"/>
      <c r="AT100" s="242"/>
      <c r="AU100" s="242"/>
      <c r="AV100" s="242"/>
      <c r="AW100" s="242"/>
      <c r="AX100" s="242"/>
      <c r="AY100" s="242"/>
      <c r="AZ100" s="242"/>
      <c r="BB100" s="242"/>
      <c r="BU100" s="101">
        <v>47635</v>
      </c>
    </row>
    <row r="101" s="101" customFormat="1" customHeight="1" spans="1:94">
      <c r="C101" s="244"/>
      <c r="I101" s="290" t="s">
        <v>3641</v>
      </c>
      <c r="J101" s="289">
        <v>73.38</v>
      </c>
      <c r="M101" s="239"/>
      <c r="N101" s="242" t="s">
        <v>3227</v>
      </c>
      <c r="O101" s="157"/>
      <c r="P101" s="275"/>
      <c r="Q101" s="241"/>
      <c r="R101" s="242"/>
      <c r="S101" s="243"/>
      <c r="T101" s="238"/>
      <c r="U101" s="224"/>
      <c r="V101" s="242"/>
      <c r="X101" s="242"/>
      <c r="Y101" s="241"/>
      <c r="AA101" s="205"/>
      <c r="AB101" s="242"/>
      <c r="AH101" s="242">
        <f t="shared" ref="AH101:AH134" si="11">V101+X101+Z101+AB101+AD101+AF101</f>
        <v>0</v>
      </c>
      <c r="AK101" s="205">
        <f t="shared" si="10"/>
        <v>0</v>
      </c>
      <c r="AM101" s="244"/>
      <c r="AO101" s="101">
        <f t="shared" si="7"/>
        <v>0</v>
      </c>
      <c r="AP101" s="276">
        <v>0.02</v>
      </c>
      <c r="AQ101" s="277">
        <f t="shared" ref="AQ101:AQ134" si="12">AR101+AS101+AT101+AU101+AV101+AW101+AX101+AY101</f>
        <v>0</v>
      </c>
      <c r="AR101" s="242"/>
      <c r="AS101" s="242"/>
      <c r="AT101" s="242"/>
      <c r="AU101" s="242"/>
      <c r="AV101" s="242"/>
      <c r="AW101" s="242"/>
      <c r="AX101" s="242"/>
      <c r="AY101" s="242"/>
      <c r="AZ101" s="242"/>
      <c r="BB101" s="242"/>
    </row>
    <row r="102" s="101" customFormat="1" customHeight="1" spans="1:94">
      <c r="C102" s="244"/>
      <c r="I102" s="290" t="s">
        <v>3642</v>
      </c>
      <c r="J102" s="279">
        <v>71.98</v>
      </c>
      <c r="M102" s="239"/>
      <c r="N102" s="242" t="s">
        <v>3227</v>
      </c>
      <c r="O102" s="157"/>
      <c r="P102" s="275"/>
      <c r="Q102" s="241"/>
      <c r="R102" s="242"/>
      <c r="S102" s="243"/>
      <c r="T102" s="238"/>
      <c r="U102" s="224"/>
      <c r="V102" s="242"/>
      <c r="X102" s="242"/>
      <c r="Y102" s="241"/>
      <c r="AA102" s="205"/>
      <c r="AB102" s="242"/>
      <c r="AH102" s="242">
        <f t="shared" si="11"/>
        <v>0</v>
      </c>
      <c r="AK102" s="205">
        <f t="shared" si="10"/>
        <v>0</v>
      </c>
      <c r="AM102" s="244"/>
      <c r="AO102" s="101">
        <f t="shared" ref="AO101:AO134" si="13">SUM(AZ102:CF102)</f>
        <v>0</v>
      </c>
      <c r="AP102" s="276">
        <v>0.02</v>
      </c>
      <c r="AQ102" s="277">
        <f t="shared" si="12"/>
        <v>0</v>
      </c>
      <c r="AR102" s="242"/>
      <c r="AS102" s="242"/>
      <c r="AT102" s="242"/>
      <c r="AU102" s="242"/>
      <c r="AV102" s="242"/>
      <c r="AW102" s="242"/>
      <c r="AX102" s="242"/>
      <c r="AY102" s="242"/>
      <c r="AZ102" s="242"/>
      <c r="BB102" s="242"/>
    </row>
    <row r="103" s="125" customFormat="1" customHeight="1" spans="1:94">
      <c r="A103" s="174">
        <v>67</v>
      </c>
      <c r="C103" s="184">
        <v>45403</v>
      </c>
      <c r="D103" s="125">
        <v>20240002219</v>
      </c>
      <c r="F103" s="1037" t="s">
        <v>3643</v>
      </c>
      <c r="G103" s="175" t="s">
        <v>3644</v>
      </c>
      <c r="H103" s="1037" t="s">
        <v>3645</v>
      </c>
      <c r="I103" s="125" t="s">
        <v>3646</v>
      </c>
      <c r="J103" s="125">
        <v>102.67</v>
      </c>
      <c r="K103" s="125">
        <v>102.67</v>
      </c>
      <c r="L103" s="125">
        <v>4967.37</v>
      </c>
      <c r="M103" s="282">
        <v>510000</v>
      </c>
      <c r="N103" s="223">
        <v>4895</v>
      </c>
      <c r="O103" s="165">
        <v>467889.9</v>
      </c>
      <c r="P103" s="1038" t="s">
        <v>3647</v>
      </c>
      <c r="Q103" s="210">
        <v>45827</v>
      </c>
      <c r="R103" s="223"/>
      <c r="S103" s="224"/>
      <c r="T103" s="174"/>
      <c r="U103" s="224" t="s">
        <v>3648</v>
      </c>
      <c r="V103" s="223">
        <f>10000-10000</f>
        <v>0</v>
      </c>
      <c r="W103" s="224" t="s">
        <v>566</v>
      </c>
      <c r="X103" s="223">
        <v>10000</v>
      </c>
      <c r="Y103" s="224" t="s">
        <v>3649</v>
      </c>
      <c r="Z103" s="223">
        <v>143000</v>
      </c>
      <c r="AA103" s="224" t="s">
        <v>3650</v>
      </c>
      <c r="AB103" s="223">
        <v>357000</v>
      </c>
      <c r="AC103" s="224" t="s">
        <v>709</v>
      </c>
      <c r="AH103" s="223">
        <f t="shared" si="11"/>
        <v>510000</v>
      </c>
      <c r="AK103" s="171">
        <f t="shared" si="10"/>
        <v>0</v>
      </c>
      <c r="AL103" s="125">
        <v>18799828687</v>
      </c>
      <c r="AM103" s="175"/>
      <c r="AO103" s="125">
        <f t="shared" si="13"/>
        <v>510000</v>
      </c>
      <c r="AP103" s="169">
        <f>0.7%+0.04%+0.12%</f>
        <v>0.0086</v>
      </c>
      <c r="AQ103" s="283">
        <f t="shared" si="12"/>
        <v>0</v>
      </c>
      <c r="AR103" s="223"/>
      <c r="AS103" s="223"/>
      <c r="AT103" s="223"/>
      <c r="AU103" s="223"/>
      <c r="AV103" s="223"/>
      <c r="AW103" s="223"/>
      <c r="AX103" s="223"/>
      <c r="AY103" s="223"/>
      <c r="AZ103" s="223"/>
      <c r="BB103" s="223"/>
      <c r="BH103" s="125">
        <v>153000</v>
      </c>
      <c r="BI103" s="125">
        <v>357000</v>
      </c>
      <c r="CI103" s="125" t="s">
        <v>260</v>
      </c>
      <c r="CJ103" s="125" t="s">
        <v>271</v>
      </c>
      <c r="CK103" s="125" t="s">
        <v>261</v>
      </c>
    </row>
    <row r="104" s="125" customFormat="1" customHeight="1" spans="1:94">
      <c r="A104" s="174">
        <v>68</v>
      </c>
      <c r="B104" s="125"/>
      <c r="C104" s="184">
        <v>46006</v>
      </c>
      <c r="D104" s="125">
        <v>20250006402</v>
      </c>
      <c r="F104" s="1037" t="s">
        <v>3651</v>
      </c>
      <c r="G104" s="125" t="s">
        <v>3652</v>
      </c>
      <c r="H104" s="1037" t="s">
        <v>3653</v>
      </c>
      <c r="I104" s="125" t="s">
        <v>3654</v>
      </c>
      <c r="J104" s="125">
        <v>86.14</v>
      </c>
      <c r="K104" s="125">
        <v>86.14</v>
      </c>
      <c r="L104" s="125">
        <v>6570.7</v>
      </c>
      <c r="M104" s="282">
        <v>566000</v>
      </c>
      <c r="N104" s="223">
        <v>6570.7</v>
      </c>
      <c r="O104" s="165">
        <v>519266.06</v>
      </c>
      <c r="P104" s="1038" t="s">
        <v>3655</v>
      </c>
      <c r="Q104" s="210">
        <v>46010</v>
      </c>
      <c r="R104" s="223"/>
      <c r="S104" s="210"/>
      <c r="T104" s="174"/>
      <c r="U104" s="224" t="s">
        <v>284</v>
      </c>
      <c r="V104" s="223">
        <v>20000</v>
      </c>
      <c r="W104" s="210">
        <v>45870</v>
      </c>
      <c r="X104" s="223">
        <v>66000</v>
      </c>
      <c r="Y104" s="210">
        <v>46006</v>
      </c>
      <c r="Z104" s="223">
        <v>480000</v>
      </c>
      <c r="AA104" s="210">
        <v>46031</v>
      </c>
      <c r="AB104" s="223"/>
      <c r="AH104" s="223">
        <f t="shared" si="11"/>
        <v>566000</v>
      </c>
      <c r="AK104" s="171">
        <f t="shared" si="10"/>
        <v>0</v>
      </c>
      <c r="AM104" s="175" t="s">
        <v>3522</v>
      </c>
      <c r="AO104" s="125">
        <f t="shared" si="13"/>
        <v>566000</v>
      </c>
      <c r="AP104" s="169">
        <f>0.4%+0.02%+0.08%+0.03%</f>
        <v>0.0053</v>
      </c>
      <c r="AQ104" s="283">
        <f t="shared" si="12"/>
        <v>0</v>
      </c>
      <c r="AR104" s="223"/>
      <c r="AS104" s="223"/>
      <c r="AT104" s="223"/>
      <c r="AU104" s="223"/>
      <c r="AV104" s="223"/>
      <c r="AW104" s="223"/>
      <c r="AX104" s="223"/>
      <c r="AY104" s="223"/>
      <c r="AZ104" s="223"/>
      <c r="BB104" s="223"/>
      <c r="CB104" s="125">
        <v>86000</v>
      </c>
      <c r="CC104" s="125">
        <v>480000</v>
      </c>
      <c r="CI104" s="125" t="s">
        <v>3258</v>
      </c>
      <c r="CK104" s="154" t="s">
        <v>3656</v>
      </c>
    </row>
    <row r="105" s="101" customFormat="1" customHeight="1" spans="1:94">
      <c r="A105" s="238">
        <v>69</v>
      </c>
      <c r="B105" s="101"/>
      <c r="C105" s="291"/>
      <c r="I105" s="101" t="s">
        <v>3657</v>
      </c>
      <c r="J105" s="101">
        <v>153.46</v>
      </c>
      <c r="M105" s="239"/>
      <c r="N105" s="242">
        <v>4905</v>
      </c>
      <c r="O105" s="157"/>
      <c r="P105" s="238"/>
      <c r="Q105" s="241"/>
      <c r="R105" s="242"/>
      <c r="S105" s="243"/>
      <c r="T105" s="238"/>
      <c r="U105" s="224"/>
      <c r="V105" s="242"/>
      <c r="X105" s="242"/>
      <c r="Y105" s="241"/>
      <c r="AA105" s="205"/>
      <c r="AB105" s="242"/>
      <c r="AH105" s="242">
        <f t="shared" si="11"/>
        <v>0</v>
      </c>
      <c r="AK105" s="205"/>
      <c r="AM105" s="244"/>
      <c r="AO105" s="101">
        <f t="shared" si="13"/>
        <v>0</v>
      </c>
      <c r="AP105" s="276"/>
      <c r="AQ105" s="277">
        <f t="shared" si="12"/>
        <v>0</v>
      </c>
      <c r="AR105" s="242"/>
      <c r="AS105" s="242"/>
      <c r="AT105" s="242"/>
      <c r="AU105" s="242"/>
      <c r="AV105" s="242"/>
      <c r="AW105" s="242"/>
      <c r="AX105" s="242"/>
      <c r="AY105" s="242"/>
      <c r="AZ105" s="242"/>
      <c r="BB105" s="242"/>
    </row>
    <row r="106" s="125" customFormat="1" customHeight="1" spans="1:94">
      <c r="A106" s="174">
        <v>70</v>
      </c>
      <c r="C106" s="184">
        <v>45416</v>
      </c>
      <c r="D106" s="125">
        <v>20240002551</v>
      </c>
      <c r="F106" s="1037" t="s">
        <v>3658</v>
      </c>
      <c r="G106" s="125" t="s">
        <v>3659</v>
      </c>
      <c r="H106" s="1037" t="s">
        <v>3660</v>
      </c>
      <c r="I106" s="125" t="s">
        <v>3661</v>
      </c>
      <c r="J106" s="125">
        <v>115.78</v>
      </c>
      <c r="K106" s="125">
        <v>115.78</v>
      </c>
      <c r="L106" s="125">
        <v>5052.7</v>
      </c>
      <c r="M106" s="282">
        <v>585000</v>
      </c>
      <c r="N106" s="223">
        <v>4925</v>
      </c>
      <c r="O106" s="165">
        <v>536697.25</v>
      </c>
      <c r="P106" s="1038" t="s">
        <v>3662</v>
      </c>
      <c r="Q106" s="210">
        <v>45827</v>
      </c>
      <c r="R106" s="223"/>
      <c r="S106" s="224"/>
      <c r="T106" s="174"/>
      <c r="U106" s="224" t="s">
        <v>546</v>
      </c>
      <c r="V106" s="223">
        <v>20000</v>
      </c>
      <c r="W106" s="224" t="s">
        <v>3663</v>
      </c>
      <c r="X106" s="223">
        <f>115000+170000</f>
        <v>285000</v>
      </c>
      <c r="Y106" s="210" t="s">
        <v>268</v>
      </c>
      <c r="Z106" s="223">
        <v>280000</v>
      </c>
      <c r="AA106" s="224" t="s">
        <v>439</v>
      </c>
      <c r="AB106" s="223"/>
      <c r="AC106" s="224"/>
      <c r="AH106" s="223">
        <f t="shared" si="11"/>
        <v>585000</v>
      </c>
      <c r="AK106" s="171">
        <f>M106-AH106</f>
        <v>0</v>
      </c>
      <c r="AL106" s="125">
        <v>19999463937</v>
      </c>
      <c r="AM106" s="175"/>
      <c r="AO106" s="125">
        <f t="shared" si="13"/>
        <v>585000</v>
      </c>
      <c r="AP106" s="169">
        <f>0.7%+0.12%</f>
        <v>0.0082</v>
      </c>
      <c r="AQ106" s="283">
        <f t="shared" si="12"/>
        <v>0</v>
      </c>
      <c r="AR106" s="223"/>
      <c r="AS106" s="223"/>
      <c r="AT106" s="223"/>
      <c r="AU106" s="223"/>
      <c r="AV106" s="223"/>
      <c r="AW106" s="223"/>
      <c r="AX106" s="223"/>
      <c r="AY106" s="223"/>
      <c r="AZ106" s="223"/>
      <c r="BB106" s="223"/>
      <c r="BI106" s="125">
        <v>585000</v>
      </c>
      <c r="CI106" s="125" t="s">
        <v>260</v>
      </c>
      <c r="CJ106" s="125" t="s">
        <v>271</v>
      </c>
      <c r="CK106" s="125" t="s">
        <v>261</v>
      </c>
    </row>
    <row r="107" s="125" customFormat="1" customHeight="1" spans="1:94">
      <c r="A107" s="174">
        <v>71</v>
      </c>
      <c r="C107" s="184">
        <v>45746</v>
      </c>
      <c r="D107" s="125">
        <v>20250001730</v>
      </c>
      <c r="F107" s="1037" t="s">
        <v>3664</v>
      </c>
      <c r="G107" s="125" t="s">
        <v>3665</v>
      </c>
      <c r="I107" s="125" t="s">
        <v>3666</v>
      </c>
      <c r="J107" s="125">
        <v>86.14</v>
      </c>
      <c r="K107" s="125">
        <v>86.14</v>
      </c>
      <c r="L107" s="125">
        <v>4875.78</v>
      </c>
      <c r="M107" s="282">
        <v>420000</v>
      </c>
      <c r="N107" s="223">
        <v>4875.78</v>
      </c>
      <c r="O107" s="165">
        <v>385321.1</v>
      </c>
      <c r="P107" s="1038" t="s">
        <v>3667</v>
      </c>
      <c r="Q107" s="210">
        <v>45827</v>
      </c>
      <c r="R107" s="223"/>
      <c r="S107" s="224"/>
      <c r="T107" s="174"/>
      <c r="U107" s="224" t="s">
        <v>722</v>
      </c>
      <c r="V107" s="223">
        <v>30000</v>
      </c>
      <c r="W107" s="224" t="s">
        <v>3668</v>
      </c>
      <c r="X107" s="223">
        <v>4000</v>
      </c>
      <c r="Y107" s="224" t="s">
        <v>3669</v>
      </c>
      <c r="Z107" s="223">
        <v>50000</v>
      </c>
      <c r="AA107" s="224" t="s">
        <v>795</v>
      </c>
      <c r="AB107" s="223">
        <v>336000</v>
      </c>
      <c r="AC107" s="224" t="s">
        <v>2689</v>
      </c>
      <c r="AH107" s="223">
        <f t="shared" si="11"/>
        <v>420000</v>
      </c>
      <c r="AK107" s="171">
        <f>M107-AH107</f>
        <v>0</v>
      </c>
      <c r="AL107" s="125">
        <v>15999025712</v>
      </c>
      <c r="AM107" s="175"/>
      <c r="AO107" s="125">
        <f t="shared" si="13"/>
        <v>420000</v>
      </c>
      <c r="AP107" s="169">
        <f>0.4%+0.12%</f>
        <v>0.0052</v>
      </c>
      <c r="AQ107" s="283">
        <f t="shared" si="12"/>
        <v>0</v>
      </c>
      <c r="AR107" s="223"/>
      <c r="AS107" s="223"/>
      <c r="AT107" s="223"/>
      <c r="AU107" s="223"/>
      <c r="AV107" s="223"/>
      <c r="AW107" s="223"/>
      <c r="AX107" s="223"/>
      <c r="AY107" s="223"/>
      <c r="AZ107" s="223"/>
      <c r="BB107" s="223"/>
      <c r="BT107" s="125">
        <v>420000</v>
      </c>
      <c r="CI107" s="125" t="s">
        <v>260</v>
      </c>
      <c r="CK107" s="125" t="s">
        <v>261</v>
      </c>
    </row>
    <row r="108" s="125" customFormat="1" customHeight="1" spans="1:94">
      <c r="A108" s="174">
        <v>72</v>
      </c>
      <c r="C108" s="184">
        <v>45455</v>
      </c>
      <c r="D108" s="125">
        <v>20240003446</v>
      </c>
      <c r="F108" s="1037" t="s">
        <v>3670</v>
      </c>
      <c r="G108" s="125" t="s">
        <v>3671</v>
      </c>
      <c r="H108" s="1037" t="s">
        <v>3672</v>
      </c>
      <c r="I108" s="125" t="s">
        <v>3673</v>
      </c>
      <c r="J108" s="125">
        <v>153.46</v>
      </c>
      <c r="K108" s="125">
        <v>153.46</v>
      </c>
      <c r="L108" s="125">
        <v>5035</v>
      </c>
      <c r="M108" s="282">
        <v>772671</v>
      </c>
      <c r="N108" s="223">
        <v>4935</v>
      </c>
      <c r="O108" s="165">
        <v>708872.48</v>
      </c>
      <c r="P108" s="1038" t="s">
        <v>3674</v>
      </c>
      <c r="Q108" s="210">
        <v>45827</v>
      </c>
      <c r="R108" s="223"/>
      <c r="S108" s="224"/>
      <c r="T108" s="174"/>
      <c r="U108" s="224" t="s">
        <v>370</v>
      </c>
      <c r="V108" s="223">
        <v>10000</v>
      </c>
      <c r="W108" s="224" t="s">
        <v>3675</v>
      </c>
      <c r="X108" s="223">
        <v>112671</v>
      </c>
      <c r="Y108" s="210" t="s">
        <v>3676</v>
      </c>
      <c r="Z108" s="125">
        <v>650000</v>
      </c>
      <c r="AA108" s="171" t="s">
        <v>3677</v>
      </c>
      <c r="AB108" s="223"/>
      <c r="AH108" s="223">
        <f t="shared" si="11"/>
        <v>772671</v>
      </c>
      <c r="AK108" s="171">
        <f>M108-AH108</f>
        <v>0</v>
      </c>
      <c r="AL108" s="125">
        <v>18139079120</v>
      </c>
      <c r="AM108" s="175"/>
      <c r="AO108" s="125">
        <f t="shared" si="13"/>
        <v>772671</v>
      </c>
      <c r="AP108" s="169">
        <f>0.7%+0.02%+0.08%</f>
        <v>0.008</v>
      </c>
      <c r="AQ108" s="283">
        <f t="shared" si="12"/>
        <v>0</v>
      </c>
      <c r="AR108" s="223"/>
      <c r="AS108" s="223"/>
      <c r="AT108" s="223"/>
      <c r="AU108" s="223"/>
      <c r="AV108" s="223"/>
      <c r="AW108" s="223"/>
      <c r="AX108" s="223"/>
      <c r="AY108" s="223"/>
      <c r="AZ108" s="223"/>
      <c r="BB108" s="223"/>
      <c r="BJ108" s="125">
        <v>772671</v>
      </c>
      <c r="CI108" s="125" t="s">
        <v>260</v>
      </c>
      <c r="CJ108" s="125" t="s">
        <v>271</v>
      </c>
      <c r="CK108" s="125" t="s">
        <v>261</v>
      </c>
      <c r="CP108" s="125">
        <f>CN108-CO108</f>
        <v>0</v>
      </c>
    </row>
    <row r="109" s="125" customFormat="1" customHeight="1" spans="1:94">
      <c r="A109" s="174">
        <v>73</v>
      </c>
      <c r="C109" s="184">
        <v>45624</v>
      </c>
      <c r="D109" s="125">
        <v>20240006861</v>
      </c>
      <c r="F109" s="1037" t="s">
        <v>3678</v>
      </c>
      <c r="G109" s="125" t="s">
        <v>3240</v>
      </c>
      <c r="H109" s="1037" t="s">
        <v>3679</v>
      </c>
      <c r="I109" s="125" t="s">
        <v>3680</v>
      </c>
      <c r="J109" s="125">
        <v>115.78</v>
      </c>
      <c r="K109" s="125">
        <v>115.78</v>
      </c>
      <c r="L109" s="125">
        <v>5068</v>
      </c>
      <c r="M109" s="282">
        <v>586773</v>
      </c>
      <c r="N109" s="223">
        <v>4968</v>
      </c>
      <c r="O109" s="165">
        <v>538323.8</v>
      </c>
      <c r="P109" s="1038" t="s">
        <v>3681</v>
      </c>
      <c r="Q109" s="210">
        <v>45827</v>
      </c>
      <c r="R109" s="223"/>
      <c r="S109" s="224"/>
      <c r="T109" s="1038" t="s">
        <v>3682</v>
      </c>
      <c r="U109" s="224" t="s">
        <v>277</v>
      </c>
      <c r="V109" s="223">
        <v>2000</v>
      </c>
      <c r="W109" s="224" t="s">
        <v>1010</v>
      </c>
      <c r="X109" s="223">
        <v>18000</v>
      </c>
      <c r="Y109" s="210" t="s">
        <v>514</v>
      </c>
      <c r="Z109" s="223">
        <v>20000</v>
      </c>
      <c r="AA109" s="224" t="s">
        <v>3683</v>
      </c>
      <c r="AB109" s="223">
        <v>47773</v>
      </c>
      <c r="AC109" s="224">
        <v>45550</v>
      </c>
      <c r="AD109" s="223">
        <v>30000</v>
      </c>
      <c r="AE109" s="224" t="s">
        <v>904</v>
      </c>
      <c r="AF109" s="223">
        <f>28000+101000+340000</f>
        <v>469000</v>
      </c>
      <c r="AG109" s="224" t="s">
        <v>3473</v>
      </c>
      <c r="AH109" s="223">
        <f t="shared" si="11"/>
        <v>586773</v>
      </c>
      <c r="AK109" s="171">
        <f>M109-AH109</f>
        <v>0</v>
      </c>
      <c r="AL109" s="125">
        <v>15099483259</v>
      </c>
      <c r="AM109" s="175"/>
      <c r="AO109" s="125">
        <f t="shared" si="13"/>
        <v>586773</v>
      </c>
      <c r="AP109" s="169">
        <f>0.4%+0.02%+0.08%+0.03%</f>
        <v>0.0053</v>
      </c>
      <c r="AQ109" s="283">
        <f t="shared" si="12"/>
        <v>0</v>
      </c>
      <c r="AR109" s="223"/>
      <c r="AS109" s="223"/>
      <c r="AT109" s="223"/>
      <c r="AU109" s="223"/>
      <c r="AV109" s="223"/>
      <c r="AW109" s="223"/>
      <c r="AX109" s="223"/>
      <c r="AY109" s="223"/>
      <c r="AZ109" s="223"/>
      <c r="BB109" s="223"/>
      <c r="BO109" s="125">
        <v>117773</v>
      </c>
      <c r="BP109" s="125">
        <v>469000</v>
      </c>
      <c r="CI109" s="125" t="s">
        <v>260</v>
      </c>
      <c r="CK109" s="125" t="s">
        <v>261</v>
      </c>
    </row>
    <row r="110" s="125" customFormat="1" customHeight="1" spans="1:94">
      <c r="A110" s="174">
        <v>74</v>
      </c>
      <c r="C110" s="184">
        <v>45385</v>
      </c>
      <c r="D110" s="125">
        <v>20240001879</v>
      </c>
      <c r="F110" s="1037" t="s">
        <v>3684</v>
      </c>
      <c r="G110" s="125" t="s">
        <v>3685</v>
      </c>
      <c r="H110" s="1037" t="s">
        <v>3686</v>
      </c>
      <c r="I110" s="125" t="s">
        <v>3687</v>
      </c>
      <c r="J110" s="125">
        <v>86.14</v>
      </c>
      <c r="K110" s="125">
        <v>86.14</v>
      </c>
      <c r="L110" s="125">
        <v>5026.7</v>
      </c>
      <c r="M110" s="282">
        <v>433000</v>
      </c>
      <c r="N110" s="223">
        <v>4998</v>
      </c>
      <c r="O110" s="165">
        <v>397247.71</v>
      </c>
      <c r="P110" s="1038" t="s">
        <v>3688</v>
      </c>
      <c r="Q110" s="210">
        <v>45827</v>
      </c>
      <c r="R110" s="223"/>
      <c r="S110" s="224"/>
      <c r="T110" s="174"/>
      <c r="U110" s="224" t="s">
        <v>267</v>
      </c>
      <c r="V110" s="223">
        <v>10000</v>
      </c>
      <c r="W110" s="224" t="s">
        <v>3649</v>
      </c>
      <c r="X110" s="223">
        <v>83000</v>
      </c>
      <c r="Y110" s="224" t="s">
        <v>1242</v>
      </c>
      <c r="Z110" s="125">
        <v>340000</v>
      </c>
      <c r="AA110" s="171" t="s">
        <v>3689</v>
      </c>
      <c r="AB110" s="223"/>
      <c r="AH110" s="223">
        <f t="shared" si="11"/>
        <v>433000</v>
      </c>
      <c r="AK110" s="171">
        <f>M110-AH110</f>
        <v>0</v>
      </c>
      <c r="AL110" s="125">
        <v>19199168756</v>
      </c>
      <c r="AM110" s="175"/>
      <c r="AO110" s="125">
        <f t="shared" si="13"/>
        <v>433000</v>
      </c>
      <c r="AP110" s="169">
        <f>0.6%+0.12%</f>
        <v>0.0072</v>
      </c>
      <c r="AQ110" s="283">
        <f t="shared" si="12"/>
        <v>0</v>
      </c>
      <c r="AR110" s="223"/>
      <c r="AS110" s="223"/>
      <c r="AT110" s="223"/>
      <c r="AU110" s="223"/>
      <c r="AV110" s="223"/>
      <c r="AW110" s="223"/>
      <c r="AX110" s="223"/>
      <c r="AY110" s="223"/>
      <c r="AZ110" s="223"/>
      <c r="BB110" s="223"/>
      <c r="BH110" s="125">
        <v>433000</v>
      </c>
      <c r="CI110" s="125" t="s">
        <v>260</v>
      </c>
      <c r="CJ110" s="125" t="s">
        <v>271</v>
      </c>
      <c r="CK110" s="125" t="s">
        <v>261</v>
      </c>
    </row>
    <row r="111" s="125" customFormat="1" customHeight="1" spans="1:94">
      <c r="A111" s="174">
        <v>75</v>
      </c>
      <c r="C111" s="184">
        <v>45303</v>
      </c>
      <c r="D111" s="125">
        <v>20240000294</v>
      </c>
      <c r="F111" s="1037" t="s">
        <v>3690</v>
      </c>
      <c r="G111" s="125" t="s">
        <v>3691</v>
      </c>
      <c r="H111" s="1037" t="s">
        <v>3692</v>
      </c>
      <c r="I111" s="125" t="s">
        <v>3693</v>
      </c>
      <c r="J111" s="125">
        <v>153.46</v>
      </c>
      <c r="K111" s="125">
        <v>153.46</v>
      </c>
      <c r="L111" s="125">
        <v>5000</v>
      </c>
      <c r="M111" s="282">
        <v>767300</v>
      </c>
      <c r="N111" s="223">
        <v>4978</v>
      </c>
      <c r="O111" s="165">
        <v>703944.95</v>
      </c>
      <c r="P111" s="1038" t="s">
        <v>3694</v>
      </c>
      <c r="Q111" s="210">
        <v>45827</v>
      </c>
      <c r="R111" s="223"/>
      <c r="S111" s="224"/>
      <c r="T111" s="174"/>
      <c r="U111" s="224" t="s">
        <v>294</v>
      </c>
      <c r="V111" s="223">
        <v>20000</v>
      </c>
      <c r="W111" s="224" t="s">
        <v>610</v>
      </c>
      <c r="X111" s="223">
        <v>132300</v>
      </c>
      <c r="Y111" s="210" t="s">
        <v>3695</v>
      </c>
      <c r="Z111" s="125">
        <v>39000</v>
      </c>
      <c r="AA111" s="171" t="s">
        <v>2770</v>
      </c>
      <c r="AB111" s="223">
        <v>576000</v>
      </c>
      <c r="AC111" s="224" t="s">
        <v>437</v>
      </c>
      <c r="AH111" s="223">
        <f t="shared" si="11"/>
        <v>767300</v>
      </c>
      <c r="AK111" s="171">
        <f t="shared" ref="AK111:AK117" si="14">M111-AH111</f>
        <v>0</v>
      </c>
      <c r="AL111" s="125">
        <v>17881704475</v>
      </c>
      <c r="AM111" s="175"/>
      <c r="AO111" s="125">
        <f t="shared" si="13"/>
        <v>767300</v>
      </c>
      <c r="AP111" s="169">
        <f>0.7%+0.04%+0.12%</f>
        <v>0.0086</v>
      </c>
      <c r="AQ111" s="283">
        <f t="shared" si="12"/>
        <v>0</v>
      </c>
      <c r="AR111" s="223"/>
      <c r="AS111" s="223"/>
      <c r="AT111" s="223"/>
      <c r="AU111" s="223"/>
      <c r="AV111" s="223"/>
      <c r="AW111" s="223"/>
      <c r="AX111" s="223"/>
      <c r="AY111" s="223"/>
      <c r="AZ111" s="223"/>
      <c r="BB111" s="223"/>
      <c r="BE111" s="125">
        <v>191300</v>
      </c>
      <c r="BG111" s="125">
        <v>576000</v>
      </c>
      <c r="CI111" s="125" t="s">
        <v>260</v>
      </c>
      <c r="CJ111" s="125" t="s">
        <v>271</v>
      </c>
      <c r="CK111" s="125" t="s">
        <v>261</v>
      </c>
    </row>
    <row r="112" s="125" customFormat="1" customHeight="1" spans="1:94">
      <c r="A112" s="174">
        <v>76</v>
      </c>
      <c r="C112" s="184">
        <v>45353</v>
      </c>
      <c r="D112" s="125">
        <v>20240001102</v>
      </c>
      <c r="F112" s="1037" t="s">
        <v>3696</v>
      </c>
      <c r="G112" s="125" t="s">
        <v>3697</v>
      </c>
      <c r="H112" s="1037" t="s">
        <v>3698</v>
      </c>
      <c r="I112" s="125" t="s">
        <v>3699</v>
      </c>
      <c r="J112" s="125">
        <v>115.78</v>
      </c>
      <c r="K112" s="125">
        <v>115.78</v>
      </c>
      <c r="L112" s="125">
        <f>M112/K112</f>
        <v>5095.87148039385</v>
      </c>
      <c r="M112" s="282">
        <v>590000</v>
      </c>
      <c r="N112" s="223">
        <v>5004</v>
      </c>
      <c r="O112" s="165">
        <v>541284.4</v>
      </c>
      <c r="P112" s="1038" t="s">
        <v>3700</v>
      </c>
      <c r="Q112" s="210">
        <v>45838</v>
      </c>
      <c r="R112" s="223"/>
      <c r="S112" s="224"/>
      <c r="T112" s="174"/>
      <c r="U112" s="224" t="s">
        <v>561</v>
      </c>
      <c r="V112" s="223">
        <v>10000</v>
      </c>
      <c r="W112" s="224" t="s">
        <v>3701</v>
      </c>
      <c r="X112" s="223">
        <v>108000</v>
      </c>
      <c r="Y112" s="224" t="s">
        <v>3702</v>
      </c>
      <c r="Z112" s="125">
        <v>472000</v>
      </c>
      <c r="AA112" s="171" t="s">
        <v>324</v>
      </c>
      <c r="AB112" s="223"/>
      <c r="AH112" s="223">
        <f t="shared" si="11"/>
        <v>590000</v>
      </c>
      <c r="AK112" s="171">
        <f t="shared" si="14"/>
        <v>0</v>
      </c>
      <c r="AL112" s="125">
        <v>13667567161</v>
      </c>
      <c r="AM112" s="175"/>
      <c r="AO112" s="125">
        <f t="shared" si="13"/>
        <v>590000</v>
      </c>
      <c r="AP112" s="169">
        <f>0.7%+0.05%+0.14%</f>
        <v>0.0089</v>
      </c>
      <c r="AQ112" s="283">
        <f t="shared" si="12"/>
        <v>0</v>
      </c>
      <c r="AR112" s="223"/>
      <c r="AS112" s="223"/>
      <c r="AT112" s="223"/>
      <c r="AU112" s="223"/>
      <c r="AV112" s="223"/>
      <c r="AW112" s="223"/>
      <c r="AX112" s="223"/>
      <c r="AY112" s="223"/>
      <c r="AZ112" s="223"/>
      <c r="BB112" s="223"/>
      <c r="BG112" s="125">
        <v>590000</v>
      </c>
      <c r="CI112" s="125" t="s">
        <v>260</v>
      </c>
      <c r="CJ112" s="125" t="s">
        <v>271</v>
      </c>
      <c r="CK112" s="125" t="s">
        <v>261</v>
      </c>
    </row>
    <row r="113" s="125" customFormat="1" customHeight="1" spans="1:92">
      <c r="A113" s="174">
        <v>77</v>
      </c>
      <c r="C113" s="184">
        <v>45426</v>
      </c>
      <c r="D113" s="125">
        <v>20240002843</v>
      </c>
      <c r="F113" s="1037" t="s">
        <v>3703</v>
      </c>
      <c r="G113" s="175" t="s">
        <v>3704</v>
      </c>
      <c r="H113" s="125" t="s">
        <v>3705</v>
      </c>
      <c r="I113" s="125" t="s">
        <v>3706</v>
      </c>
      <c r="J113" s="125">
        <v>86.14</v>
      </c>
      <c r="K113" s="125">
        <v>86.14</v>
      </c>
      <c r="L113" s="125">
        <f>M113/K113</f>
        <v>5038.3097283492</v>
      </c>
      <c r="M113" s="282">
        <v>434000</v>
      </c>
      <c r="N113" s="223">
        <v>5034</v>
      </c>
      <c r="O113" s="165">
        <v>398165.14</v>
      </c>
      <c r="P113" s="1038" t="s">
        <v>3707</v>
      </c>
      <c r="Q113" s="210">
        <v>45827</v>
      </c>
      <c r="R113" s="223"/>
      <c r="S113" s="224"/>
      <c r="T113" s="174"/>
      <c r="U113" s="224"/>
      <c r="V113" s="223">
        <v>10707</v>
      </c>
      <c r="W113" s="224" t="s">
        <v>3708</v>
      </c>
      <c r="X113" s="223">
        <v>423293</v>
      </c>
      <c r="Y113" s="210" t="s">
        <v>3708</v>
      </c>
      <c r="AA113" s="171"/>
      <c r="AB113" s="223"/>
      <c r="AH113" s="223">
        <f t="shared" si="11"/>
        <v>434000</v>
      </c>
      <c r="AK113" s="171">
        <f t="shared" si="14"/>
        <v>0</v>
      </c>
      <c r="AM113" s="175" t="s">
        <v>3709</v>
      </c>
      <c r="AO113" s="125">
        <f t="shared" si="13"/>
        <v>434000</v>
      </c>
      <c r="AP113" s="169" t="s">
        <v>3710</v>
      </c>
      <c r="AQ113" s="283">
        <f t="shared" si="12"/>
        <v>0</v>
      </c>
      <c r="AR113" s="223"/>
      <c r="AS113" s="223"/>
      <c r="AT113" s="223"/>
      <c r="AU113" s="223"/>
      <c r="AV113" s="223"/>
      <c r="AW113" s="223"/>
      <c r="AX113" s="223"/>
      <c r="AY113" s="223"/>
      <c r="AZ113" s="223"/>
      <c r="BB113" s="223"/>
      <c r="BI113" s="125">
        <v>434000</v>
      </c>
      <c r="CI113" s="125" t="s">
        <v>260</v>
      </c>
      <c r="CJ113" s="125" t="s">
        <v>271</v>
      </c>
      <c r="CK113" s="125" t="s">
        <v>261</v>
      </c>
    </row>
    <row r="114" s="125" customFormat="1" customHeight="1" spans="1:92">
      <c r="A114" s="174">
        <v>78</v>
      </c>
      <c r="C114" s="184">
        <v>45300</v>
      </c>
      <c r="D114" s="125">
        <v>20240000209</v>
      </c>
      <c r="F114" s="1037" t="s">
        <v>3711</v>
      </c>
      <c r="G114" s="175" t="s">
        <v>3712</v>
      </c>
      <c r="H114" s="1037" t="s">
        <v>3713</v>
      </c>
      <c r="I114" s="125" t="s">
        <v>3714</v>
      </c>
      <c r="J114" s="125">
        <v>132.34</v>
      </c>
      <c r="K114" s="125">
        <v>132.34</v>
      </c>
      <c r="L114" s="125">
        <v>5076.22</v>
      </c>
      <c r="M114" s="282">
        <v>671787</v>
      </c>
      <c r="N114" s="223">
        <v>5014</v>
      </c>
      <c r="O114" s="165">
        <v>616318.35</v>
      </c>
      <c r="P114" s="1038" t="s">
        <v>3715</v>
      </c>
      <c r="Q114" s="210">
        <v>45827</v>
      </c>
      <c r="R114" s="223"/>
      <c r="S114" s="224"/>
      <c r="T114" s="1039" t="s">
        <v>3716</v>
      </c>
      <c r="U114" s="224" t="s">
        <v>2160</v>
      </c>
      <c r="V114" s="223">
        <v>2000</v>
      </c>
      <c r="W114" s="286" t="s">
        <v>306</v>
      </c>
      <c r="X114" s="223">
        <v>18000</v>
      </c>
      <c r="Y114" s="224" t="s">
        <v>566</v>
      </c>
      <c r="Z114" s="125">
        <v>181787</v>
      </c>
      <c r="AA114" s="171" t="s">
        <v>624</v>
      </c>
      <c r="AB114" s="223">
        <v>470000</v>
      </c>
      <c r="AC114" s="125" t="s">
        <v>828</v>
      </c>
      <c r="AH114" s="223">
        <f t="shared" si="11"/>
        <v>671787</v>
      </c>
      <c r="AK114" s="171">
        <f t="shared" si="14"/>
        <v>0</v>
      </c>
      <c r="AL114" s="125">
        <v>18690680552</v>
      </c>
      <c r="AM114" s="175"/>
      <c r="AO114" s="125">
        <f t="shared" si="13"/>
        <v>671787</v>
      </c>
      <c r="AP114" s="169">
        <f>0.4%+0.02%+0.08%</f>
        <v>0.005</v>
      </c>
      <c r="AQ114" s="283">
        <f t="shared" si="12"/>
        <v>0</v>
      </c>
      <c r="AR114" s="223"/>
      <c r="AS114" s="223"/>
      <c r="AT114" s="223"/>
      <c r="AU114" s="223"/>
      <c r="AV114" s="223"/>
      <c r="AW114" s="223"/>
      <c r="AX114" s="223"/>
      <c r="AY114" s="223"/>
      <c r="AZ114" s="223"/>
      <c r="BB114" s="223"/>
      <c r="BE114" s="125">
        <v>671787</v>
      </c>
      <c r="CI114" s="125" t="s">
        <v>260</v>
      </c>
      <c r="CJ114" s="125" t="s">
        <v>271</v>
      </c>
      <c r="CK114" s="125" t="s">
        <v>261</v>
      </c>
    </row>
    <row r="115" s="125" customFormat="1" customHeight="1" spans="1:92">
      <c r="A115" s="174">
        <v>79</v>
      </c>
      <c r="C115" s="184">
        <v>45300</v>
      </c>
      <c r="D115" s="125">
        <v>20240000198</v>
      </c>
      <c r="F115" s="1037" t="s">
        <v>3717</v>
      </c>
      <c r="G115" s="125" t="s">
        <v>3718</v>
      </c>
      <c r="H115" s="1037" t="s">
        <v>3719</v>
      </c>
      <c r="I115" s="125" t="s">
        <v>3720</v>
      </c>
      <c r="J115" s="125">
        <v>115.78</v>
      </c>
      <c r="K115" s="125">
        <v>115.78</v>
      </c>
      <c r="L115" s="125">
        <v>5110</v>
      </c>
      <c r="M115" s="282">
        <v>591636</v>
      </c>
      <c r="N115" s="223">
        <v>5065</v>
      </c>
      <c r="O115" s="165">
        <v>542785.32</v>
      </c>
      <c r="P115" s="1038" t="s">
        <v>3721</v>
      </c>
      <c r="Q115" s="210">
        <v>45827</v>
      </c>
      <c r="R115" s="223"/>
      <c r="S115" s="224"/>
      <c r="T115" s="174"/>
      <c r="U115" s="224" t="s">
        <v>546</v>
      </c>
      <c r="V115" s="223">
        <v>20000</v>
      </c>
      <c r="W115" s="224" t="s">
        <v>1754</v>
      </c>
      <c r="X115" s="223">
        <v>161636</v>
      </c>
      <c r="Y115" s="210" t="s">
        <v>624</v>
      </c>
      <c r="Z115" s="125">
        <v>410000</v>
      </c>
      <c r="AA115" s="171" t="s">
        <v>828</v>
      </c>
      <c r="AB115" s="223"/>
      <c r="AH115" s="223">
        <f t="shared" si="11"/>
        <v>591636</v>
      </c>
      <c r="AK115" s="171">
        <f t="shared" si="14"/>
        <v>0</v>
      </c>
      <c r="AL115" s="125">
        <v>18299827379</v>
      </c>
      <c r="AM115" s="175"/>
      <c r="AO115" s="125">
        <f t="shared" si="13"/>
        <v>591636</v>
      </c>
      <c r="AP115" s="169">
        <f>0.7%+0.12%</f>
        <v>0.0082</v>
      </c>
      <c r="AQ115" s="283">
        <f t="shared" si="12"/>
        <v>0</v>
      </c>
      <c r="AR115" s="223"/>
      <c r="AS115" s="223"/>
      <c r="AT115" s="223"/>
      <c r="AU115" s="223"/>
      <c r="AV115" s="223"/>
      <c r="AW115" s="223"/>
      <c r="AX115" s="223"/>
      <c r="AY115" s="223"/>
      <c r="AZ115" s="223"/>
      <c r="BB115" s="223"/>
      <c r="BE115" s="125">
        <v>591636</v>
      </c>
      <c r="CI115" s="125" t="s">
        <v>260</v>
      </c>
      <c r="CJ115" s="125" t="s">
        <v>271</v>
      </c>
      <c r="CK115" s="125" t="s">
        <v>261</v>
      </c>
    </row>
    <row r="116" s="125" customFormat="1" customHeight="1" spans="1:92">
      <c r="A116" s="174">
        <v>80</v>
      </c>
      <c r="C116" s="184">
        <v>45401</v>
      </c>
      <c r="D116" s="125">
        <v>20240002198</v>
      </c>
      <c r="F116" s="1037" t="s">
        <v>3722</v>
      </c>
      <c r="G116" s="175" t="s">
        <v>3723</v>
      </c>
      <c r="H116" s="1037" t="s">
        <v>3724</v>
      </c>
      <c r="I116" s="125" t="s">
        <v>3725</v>
      </c>
      <c r="J116" s="125">
        <v>86.14</v>
      </c>
      <c r="K116" s="125">
        <v>86.14</v>
      </c>
      <c r="L116" s="125">
        <v>5195</v>
      </c>
      <c r="M116" s="282">
        <v>447497</v>
      </c>
      <c r="N116" s="223">
        <v>5095</v>
      </c>
      <c r="O116" s="165">
        <v>410547.71</v>
      </c>
      <c r="P116" s="1038" t="s">
        <v>3726</v>
      </c>
      <c r="Q116" s="210">
        <v>45827</v>
      </c>
      <c r="R116" s="223"/>
      <c r="S116" s="224"/>
      <c r="T116" s="292" t="s">
        <v>3727</v>
      </c>
      <c r="U116" s="224" t="s">
        <v>3728</v>
      </c>
      <c r="V116" s="223">
        <f>2000-2000</f>
        <v>0</v>
      </c>
      <c r="W116" s="224" t="s">
        <v>2956</v>
      </c>
      <c r="X116" s="223">
        <v>2000</v>
      </c>
      <c r="Y116" s="224" t="s">
        <v>610</v>
      </c>
      <c r="Z116" s="125">
        <v>18000</v>
      </c>
      <c r="AA116" s="171" t="s">
        <v>3729</v>
      </c>
      <c r="AB116" s="223">
        <v>427497</v>
      </c>
      <c r="AC116" s="224" t="s">
        <v>269</v>
      </c>
      <c r="AH116" s="223">
        <f t="shared" si="11"/>
        <v>447497</v>
      </c>
      <c r="AK116" s="171">
        <f t="shared" si="14"/>
        <v>0</v>
      </c>
      <c r="AL116" s="125">
        <v>13779327826</v>
      </c>
      <c r="AM116" s="175"/>
      <c r="AO116" s="125">
        <f t="shared" si="13"/>
        <v>447497</v>
      </c>
      <c r="AP116" s="169">
        <f>0.4%+0.03%+0.12%</f>
        <v>0.0055</v>
      </c>
      <c r="AQ116" s="283">
        <f t="shared" si="12"/>
        <v>0</v>
      </c>
      <c r="AR116" s="223"/>
      <c r="AS116" s="223"/>
      <c r="AT116" s="223"/>
      <c r="AU116" s="223"/>
      <c r="AV116" s="223"/>
      <c r="AW116" s="223"/>
      <c r="AX116" s="223"/>
      <c r="AY116" s="223"/>
      <c r="AZ116" s="223"/>
      <c r="BB116" s="223"/>
      <c r="BH116" s="125">
        <v>447497</v>
      </c>
      <c r="CI116" s="125" t="s">
        <v>260</v>
      </c>
      <c r="CJ116" s="125" t="s">
        <v>271</v>
      </c>
      <c r="CK116" s="125" t="s">
        <v>261</v>
      </c>
    </row>
    <row r="117" s="125" customFormat="1" customHeight="1" spans="1:92">
      <c r="A117" s="174">
        <v>81</v>
      </c>
      <c r="C117" s="184">
        <v>45341</v>
      </c>
      <c r="D117" s="125">
        <v>20240000866</v>
      </c>
      <c r="F117" s="1037" t="s">
        <v>3730</v>
      </c>
      <c r="G117" s="125" t="s">
        <v>3731</v>
      </c>
      <c r="H117" s="1037" t="s">
        <v>3732</v>
      </c>
      <c r="I117" s="125" t="s">
        <v>3733</v>
      </c>
      <c r="J117" s="125">
        <v>132.34</v>
      </c>
      <c r="K117" s="125">
        <v>132.34</v>
      </c>
      <c r="L117" s="125">
        <v>5123.17</v>
      </c>
      <c r="M117" s="282">
        <v>678000</v>
      </c>
      <c r="N117" s="223">
        <v>5065</v>
      </c>
      <c r="O117" s="165">
        <v>622018.35</v>
      </c>
      <c r="P117" s="1038" t="s">
        <v>3734</v>
      </c>
      <c r="Q117" s="210">
        <v>45827</v>
      </c>
      <c r="R117" s="223"/>
      <c r="S117" s="224"/>
      <c r="T117" s="174"/>
      <c r="U117" s="224" t="s">
        <v>294</v>
      </c>
      <c r="V117" s="223">
        <v>20000</v>
      </c>
      <c r="W117" s="224" t="s">
        <v>3324</v>
      </c>
      <c r="X117" s="223">
        <v>118000</v>
      </c>
      <c r="Y117" s="224" t="s">
        <v>3735</v>
      </c>
      <c r="Z117" s="223">
        <v>540000</v>
      </c>
      <c r="AA117" s="224">
        <v>45539</v>
      </c>
      <c r="AB117" s="223"/>
      <c r="AH117" s="223">
        <f t="shared" si="11"/>
        <v>678000</v>
      </c>
      <c r="AK117" s="171">
        <f t="shared" si="14"/>
        <v>0</v>
      </c>
      <c r="AL117" s="125">
        <v>19190819297</v>
      </c>
      <c r="AM117" s="175"/>
      <c r="AO117" s="125">
        <f t="shared" si="13"/>
        <v>678000</v>
      </c>
      <c r="AP117" s="169">
        <f>0.7%+0.04%+0.12%</f>
        <v>0.0086</v>
      </c>
      <c r="AQ117" s="283">
        <f t="shared" si="12"/>
        <v>0</v>
      </c>
      <c r="AR117" s="223"/>
      <c r="AS117" s="223"/>
      <c r="AT117" s="223"/>
      <c r="AU117" s="223"/>
      <c r="AV117" s="223"/>
      <c r="AW117" s="223"/>
      <c r="AX117" s="223"/>
      <c r="AY117" s="223"/>
      <c r="AZ117" s="223"/>
      <c r="BB117" s="223"/>
      <c r="BF117" s="125">
        <v>138000</v>
      </c>
      <c r="BM117" s="125">
        <v>540000</v>
      </c>
      <c r="CI117" s="125" t="s">
        <v>260</v>
      </c>
      <c r="CJ117" s="125" t="s">
        <v>271</v>
      </c>
      <c r="CK117" s="125" t="s">
        <v>261</v>
      </c>
    </row>
    <row r="118" s="125" customFormat="1" customHeight="1" spans="1:92">
      <c r="A118" s="174">
        <v>82</v>
      </c>
      <c r="C118" s="184">
        <v>45297</v>
      </c>
      <c r="D118" s="125">
        <v>20240000136</v>
      </c>
      <c r="F118" s="1037" t="s">
        <v>3736</v>
      </c>
      <c r="G118" s="125" t="s">
        <v>3737</v>
      </c>
      <c r="H118" s="1037" t="s">
        <v>3738</v>
      </c>
      <c r="I118" s="125" t="s">
        <v>3739</v>
      </c>
      <c r="J118" s="125">
        <v>115.78</v>
      </c>
      <c r="K118" s="125">
        <v>115.78</v>
      </c>
      <c r="L118" s="125">
        <v>5182.24</v>
      </c>
      <c r="M118" s="282">
        <v>600000</v>
      </c>
      <c r="N118" s="223">
        <v>5145</v>
      </c>
      <c r="O118" s="165">
        <v>550458.72</v>
      </c>
      <c r="P118" s="1038" t="s">
        <v>3740</v>
      </c>
      <c r="Q118" s="210">
        <v>45827</v>
      </c>
      <c r="R118" s="223"/>
      <c r="S118" s="224"/>
      <c r="T118" s="174"/>
      <c r="U118" s="224" t="s">
        <v>267</v>
      </c>
      <c r="V118" s="223">
        <v>20000</v>
      </c>
      <c r="W118" s="224" t="s">
        <v>566</v>
      </c>
      <c r="X118" s="223">
        <f>460000+120000</f>
        <v>580000</v>
      </c>
      <c r="Y118" s="210" t="s">
        <v>610</v>
      </c>
      <c r="AA118" s="171"/>
      <c r="AB118" s="223"/>
      <c r="AH118" s="223">
        <f t="shared" si="11"/>
        <v>600000</v>
      </c>
      <c r="AK118" s="171">
        <f t="shared" ref="AK118:AK126" si="15">M118-AH118</f>
        <v>0</v>
      </c>
      <c r="AL118" s="125">
        <v>15199931388</v>
      </c>
      <c r="AM118" s="175"/>
      <c r="AO118" s="125">
        <f t="shared" si="13"/>
        <v>600000</v>
      </c>
      <c r="AP118" s="169">
        <f>0.7%+0.08%</f>
        <v>0.0078</v>
      </c>
      <c r="AQ118" s="283">
        <f t="shared" si="12"/>
        <v>0</v>
      </c>
      <c r="AR118" s="223"/>
      <c r="AS118" s="223"/>
      <c r="AT118" s="223"/>
      <c r="AU118" s="223"/>
      <c r="AV118" s="223"/>
      <c r="AW118" s="223"/>
      <c r="AX118" s="223"/>
      <c r="AY118" s="223"/>
      <c r="AZ118" s="223"/>
      <c r="BB118" s="223"/>
      <c r="BE118" s="125">
        <v>600000</v>
      </c>
      <c r="CI118" s="125" t="s">
        <v>260</v>
      </c>
      <c r="CJ118" s="125" t="s">
        <v>271</v>
      </c>
      <c r="CK118" s="125" t="s">
        <v>261</v>
      </c>
    </row>
    <row r="119" s="125" customFormat="1" customHeight="1" spans="1:92">
      <c r="A119" s="174">
        <v>83</v>
      </c>
      <c r="C119" s="184">
        <v>45414</v>
      </c>
      <c r="D119" s="125">
        <v>20240002487</v>
      </c>
      <c r="F119" s="125" t="s">
        <v>3741</v>
      </c>
      <c r="G119" s="125" t="s">
        <v>3742</v>
      </c>
      <c r="I119" s="125" t="s">
        <v>3743</v>
      </c>
      <c r="J119" s="125">
        <v>86.14</v>
      </c>
      <c r="K119" s="125">
        <v>86.14</v>
      </c>
      <c r="L119" s="125">
        <f>M119/K119</f>
        <v>5224.05386579986</v>
      </c>
      <c r="M119" s="282">
        <v>450000</v>
      </c>
      <c r="N119" s="223">
        <v>5175</v>
      </c>
      <c r="O119" s="165">
        <v>412844.04</v>
      </c>
      <c r="P119" s="1038" t="s">
        <v>3744</v>
      </c>
      <c r="Q119" s="210">
        <v>45845</v>
      </c>
      <c r="R119" s="223"/>
      <c r="S119" s="224"/>
      <c r="T119" s="174"/>
      <c r="U119" s="224" t="s">
        <v>408</v>
      </c>
      <c r="V119" s="223">
        <v>150000</v>
      </c>
      <c r="W119" s="224" t="s">
        <v>3745</v>
      </c>
      <c r="X119" s="223">
        <v>300000</v>
      </c>
      <c r="Y119" s="210" t="s">
        <v>2170</v>
      </c>
      <c r="AA119" s="171"/>
      <c r="AB119" s="223"/>
      <c r="AH119" s="223">
        <f t="shared" si="11"/>
        <v>450000</v>
      </c>
      <c r="AK119" s="171">
        <f t="shared" si="15"/>
        <v>0</v>
      </c>
      <c r="AL119" s="125">
        <v>13565971091</v>
      </c>
      <c r="AM119" s="175"/>
      <c r="AO119" s="125">
        <f t="shared" si="13"/>
        <v>450000</v>
      </c>
      <c r="AP119" s="169">
        <f>0.4%+0.02%+0.08%</f>
        <v>0.005</v>
      </c>
      <c r="AQ119" s="283">
        <f t="shared" si="12"/>
        <v>0</v>
      </c>
      <c r="AR119" s="223"/>
      <c r="AS119" s="223"/>
      <c r="AT119" s="223"/>
      <c r="AU119" s="223"/>
      <c r="AV119" s="223"/>
      <c r="AW119" s="223"/>
      <c r="AX119" s="223"/>
      <c r="AY119" s="223"/>
      <c r="AZ119" s="223"/>
      <c r="BB119" s="223"/>
      <c r="BI119" s="125">
        <v>450000</v>
      </c>
      <c r="CI119" s="125" t="s">
        <v>260</v>
      </c>
      <c r="CJ119" s="125" t="s">
        <v>271</v>
      </c>
      <c r="CK119" s="125" t="s">
        <v>261</v>
      </c>
    </row>
    <row r="120" s="125" customFormat="1" ht="44" customHeight="1" spans="1:92">
      <c r="A120" s="174">
        <v>84</v>
      </c>
      <c r="C120" s="184">
        <v>45291</v>
      </c>
      <c r="D120" s="125">
        <v>20230010724</v>
      </c>
      <c r="F120" s="1037" t="s">
        <v>3746</v>
      </c>
      <c r="G120" s="125" t="s">
        <v>3747</v>
      </c>
      <c r="H120" s="1037" t="s">
        <v>3748</v>
      </c>
      <c r="I120" s="125" t="s">
        <v>3749</v>
      </c>
      <c r="J120" s="125">
        <v>132.34</v>
      </c>
      <c r="K120" s="125">
        <v>132.34</v>
      </c>
      <c r="L120" s="125">
        <v>5200</v>
      </c>
      <c r="M120" s="282">
        <v>688168</v>
      </c>
      <c r="N120" s="223">
        <v>5125</v>
      </c>
      <c r="O120" s="165">
        <v>631346.79</v>
      </c>
      <c r="P120" s="1038" t="s">
        <v>3750</v>
      </c>
      <c r="Q120" s="210">
        <v>45827</v>
      </c>
      <c r="R120" s="223"/>
      <c r="S120" s="224"/>
      <c r="T120" s="1038" t="s">
        <v>2343</v>
      </c>
      <c r="U120" s="224" t="s">
        <v>284</v>
      </c>
      <c r="V120" s="223">
        <v>10000</v>
      </c>
      <c r="W120" s="224" t="s">
        <v>890</v>
      </c>
      <c r="X120" s="223">
        <v>10000</v>
      </c>
      <c r="Y120" s="224" t="s">
        <v>514</v>
      </c>
      <c r="Z120" s="223">
        <v>48168</v>
      </c>
      <c r="AA120" s="224" t="s">
        <v>566</v>
      </c>
      <c r="AB120" s="223">
        <v>70000</v>
      </c>
      <c r="AC120" s="125" t="s">
        <v>3751</v>
      </c>
      <c r="AD120" s="223">
        <v>550000</v>
      </c>
      <c r="AE120" s="224" t="s">
        <v>3752</v>
      </c>
      <c r="AH120" s="223">
        <f t="shared" si="11"/>
        <v>688168</v>
      </c>
      <c r="AK120" s="171">
        <f t="shared" si="15"/>
        <v>0</v>
      </c>
      <c r="AL120" s="125">
        <v>15276150544</v>
      </c>
      <c r="AM120" s="175"/>
      <c r="AO120" s="125">
        <f t="shared" si="13"/>
        <v>688168</v>
      </c>
      <c r="AP120" s="169">
        <f>0.5%+0.02%+0.08%</f>
        <v>0.006</v>
      </c>
      <c r="AQ120" s="283">
        <f t="shared" si="12"/>
        <v>100</v>
      </c>
      <c r="AR120" s="223"/>
      <c r="AS120" s="223"/>
      <c r="AT120" s="223"/>
      <c r="AU120" s="223"/>
      <c r="AV120" s="223"/>
      <c r="AW120" s="223"/>
      <c r="AX120" s="223"/>
      <c r="AY120" s="223">
        <v>100</v>
      </c>
      <c r="AZ120" s="223"/>
      <c r="BB120" s="223"/>
      <c r="BE120" s="125">
        <v>138168</v>
      </c>
      <c r="BG120" s="125">
        <v>550000</v>
      </c>
      <c r="CI120" s="125" t="s">
        <v>260</v>
      </c>
      <c r="CJ120" s="125" t="s">
        <v>271</v>
      </c>
      <c r="CK120" s="125" t="s">
        <v>261</v>
      </c>
    </row>
    <row r="121" s="125" customFormat="1" ht="46" customHeight="1" spans="1:92">
      <c r="A121" s="174">
        <v>85</v>
      </c>
      <c r="C121" s="184">
        <v>45313</v>
      </c>
      <c r="D121" s="125">
        <v>20240000484</v>
      </c>
      <c r="F121" s="1037" t="s">
        <v>3753</v>
      </c>
      <c r="G121" s="175" t="s">
        <v>3754</v>
      </c>
      <c r="I121" s="125" t="s">
        <v>3755</v>
      </c>
      <c r="J121" s="125">
        <v>115.78</v>
      </c>
      <c r="K121" s="125">
        <v>115.78</v>
      </c>
      <c r="L121" s="125">
        <f>M121/K121</f>
        <v>5306.99602694766</v>
      </c>
      <c r="M121" s="282">
        <v>614444</v>
      </c>
      <c r="N121" s="223">
        <v>5207</v>
      </c>
      <c r="O121" s="165">
        <v>563710.09</v>
      </c>
      <c r="P121" s="1038" t="s">
        <v>3756</v>
      </c>
      <c r="Q121" s="210">
        <v>45827</v>
      </c>
      <c r="R121" s="223"/>
      <c r="S121" s="224"/>
      <c r="T121" s="1039" t="s">
        <v>3757</v>
      </c>
      <c r="U121" s="224" t="s">
        <v>3758</v>
      </c>
      <c r="V121" s="223">
        <f>2000-2000</f>
        <v>0</v>
      </c>
      <c r="W121" s="224" t="s">
        <v>1010</v>
      </c>
      <c r="X121" s="223">
        <v>2000</v>
      </c>
      <c r="Y121" s="224" t="s">
        <v>2185</v>
      </c>
      <c r="Z121" s="223">
        <v>18000</v>
      </c>
      <c r="AA121" s="210" t="s">
        <v>514</v>
      </c>
      <c r="AB121" s="223">
        <v>41444</v>
      </c>
      <c r="AC121" s="224" t="s">
        <v>2615</v>
      </c>
      <c r="AD121" s="125">
        <v>63000</v>
      </c>
      <c r="AE121" s="125" t="s">
        <v>3759</v>
      </c>
      <c r="AF121" s="223">
        <v>490000</v>
      </c>
      <c r="AG121" s="224" t="s">
        <v>1242</v>
      </c>
      <c r="AH121" s="223">
        <f t="shared" si="11"/>
        <v>614444</v>
      </c>
      <c r="AK121" s="171">
        <f t="shared" si="15"/>
        <v>0</v>
      </c>
      <c r="AL121" s="125">
        <v>18690878909</v>
      </c>
      <c r="AM121" s="175"/>
      <c r="AO121" s="125">
        <f t="shared" si="13"/>
        <v>614444</v>
      </c>
      <c r="AP121" s="169">
        <f>0.4%+0.08%</f>
        <v>0.0048</v>
      </c>
      <c r="AQ121" s="283">
        <f t="shared" si="12"/>
        <v>0</v>
      </c>
      <c r="AR121" s="223"/>
      <c r="AS121" s="223"/>
      <c r="AT121" s="223"/>
      <c r="AU121" s="223"/>
      <c r="AV121" s="223"/>
      <c r="AW121" s="223"/>
      <c r="AX121" s="223"/>
      <c r="AY121" s="223"/>
      <c r="AZ121" s="223"/>
      <c r="BB121" s="223"/>
      <c r="BE121" s="125">
        <v>124444</v>
      </c>
      <c r="BH121" s="125">
        <v>490000</v>
      </c>
      <c r="CI121" s="125" t="s">
        <v>260</v>
      </c>
      <c r="CJ121" s="125" t="s">
        <v>271</v>
      </c>
      <c r="CK121" s="125" t="s">
        <v>261</v>
      </c>
    </row>
    <row r="122" s="125" customFormat="1" ht="54" customHeight="1" spans="1:92">
      <c r="A122" s="174">
        <v>86</v>
      </c>
      <c r="B122" s="125"/>
      <c r="C122" s="184">
        <v>45854</v>
      </c>
      <c r="D122" s="125">
        <v>20250003766</v>
      </c>
      <c r="E122" s="175" t="s">
        <v>3760</v>
      </c>
      <c r="F122" s="1037" t="s">
        <v>3761</v>
      </c>
      <c r="G122" s="175" t="s">
        <v>3762</v>
      </c>
      <c r="H122" s="125"/>
      <c r="I122" s="125" t="s">
        <v>3763</v>
      </c>
      <c r="J122" s="125">
        <v>86.14</v>
      </c>
      <c r="K122" s="125">
        <v>86.14</v>
      </c>
      <c r="L122" s="125">
        <f>M122/K122</f>
        <v>5536.99791037845</v>
      </c>
      <c r="M122" s="282">
        <v>476957</v>
      </c>
      <c r="N122" s="282">
        <v>5096.355</v>
      </c>
      <c r="O122" s="165">
        <v>437575.23</v>
      </c>
      <c r="P122" s="1038" t="s">
        <v>3764</v>
      </c>
      <c r="Q122" s="210">
        <v>45896</v>
      </c>
      <c r="R122" s="223"/>
      <c r="S122" s="224"/>
      <c r="T122" s="174"/>
      <c r="U122" s="224"/>
      <c r="V122" s="125">
        <v>5000</v>
      </c>
      <c r="W122" s="125" t="s">
        <v>2112</v>
      </c>
      <c r="X122" s="223">
        <f>472105+4852</f>
        <v>476957</v>
      </c>
      <c r="Y122" s="224">
        <v>45854</v>
      </c>
      <c r="Z122" s="223">
        <v>-5000</v>
      </c>
      <c r="AA122" s="224">
        <v>45874</v>
      </c>
      <c r="AB122" s="223"/>
      <c r="AC122" s="224"/>
      <c r="AH122" s="223">
        <f t="shared" si="11"/>
        <v>476957</v>
      </c>
      <c r="AK122" s="171">
        <f t="shared" si="15"/>
        <v>0</v>
      </c>
      <c r="AM122" s="175"/>
      <c r="AO122" s="125">
        <f t="shared" si="13"/>
        <v>0</v>
      </c>
      <c r="AP122" s="169">
        <f>0.4%+0.02%+0.08%+0.03%</f>
        <v>0.0053</v>
      </c>
      <c r="AQ122" s="283">
        <f t="shared" si="12"/>
        <v>0</v>
      </c>
      <c r="AR122" s="223"/>
      <c r="AS122" s="223"/>
      <c r="AT122" s="223"/>
      <c r="AU122" s="223"/>
      <c r="AV122" s="223"/>
      <c r="AW122" s="223"/>
      <c r="AX122" s="223"/>
      <c r="AY122" s="223"/>
      <c r="AZ122" s="223"/>
      <c r="BB122" s="223"/>
      <c r="CI122" s="125" t="s">
        <v>2707</v>
      </c>
      <c r="CK122" s="125" t="s">
        <v>261</v>
      </c>
    </row>
    <row r="123" s="125" customFormat="1" customHeight="1" spans="1:92">
      <c r="A123" s="174">
        <v>87</v>
      </c>
      <c r="C123" s="184">
        <v>45417</v>
      </c>
      <c r="D123" s="125">
        <v>20240002610</v>
      </c>
      <c r="F123" s="1037" t="s">
        <v>3765</v>
      </c>
      <c r="G123" s="125" t="s">
        <v>3766</v>
      </c>
      <c r="H123" s="1037" t="s">
        <v>3767</v>
      </c>
      <c r="I123" s="125" t="s">
        <v>3768</v>
      </c>
      <c r="J123" s="125">
        <v>132.34</v>
      </c>
      <c r="K123" s="125">
        <v>132.34</v>
      </c>
      <c r="L123" s="125">
        <f>M123/K123</f>
        <v>5226.99863986701</v>
      </c>
      <c r="M123" s="282">
        <v>691741</v>
      </c>
      <c r="N123" s="223">
        <v>5177</v>
      </c>
      <c r="O123" s="165">
        <v>634624.77</v>
      </c>
      <c r="P123" s="1038" t="s">
        <v>3769</v>
      </c>
      <c r="Q123" s="210">
        <v>45827</v>
      </c>
      <c r="R123" s="223"/>
      <c r="S123" s="224"/>
      <c r="T123" s="174"/>
      <c r="U123" s="224" t="s">
        <v>546</v>
      </c>
      <c r="V123" s="223">
        <v>2000</v>
      </c>
      <c r="W123" s="224" t="s">
        <v>1010</v>
      </c>
      <c r="X123" s="223">
        <v>18000</v>
      </c>
      <c r="Y123" s="224" t="s">
        <v>3770</v>
      </c>
      <c r="Z123" s="223">
        <v>118741</v>
      </c>
      <c r="AA123" s="224" t="s">
        <v>965</v>
      </c>
      <c r="AB123" s="223">
        <v>553000</v>
      </c>
      <c r="AC123" s="224" t="s">
        <v>967</v>
      </c>
      <c r="AH123" s="223">
        <f t="shared" si="11"/>
        <v>691741</v>
      </c>
      <c r="AK123" s="171">
        <f t="shared" si="15"/>
        <v>0</v>
      </c>
      <c r="AL123" s="125">
        <v>18199242252</v>
      </c>
      <c r="AM123" s="175"/>
      <c r="AO123" s="125">
        <f t="shared" si="13"/>
        <v>691741</v>
      </c>
      <c r="AP123" s="169">
        <f>0.7%+0.12%</f>
        <v>0.0082</v>
      </c>
      <c r="AQ123" s="283">
        <f t="shared" si="12"/>
        <v>0</v>
      </c>
      <c r="AR123" s="223"/>
      <c r="AS123" s="223"/>
      <c r="AT123" s="223"/>
      <c r="AU123" s="223"/>
      <c r="AV123" s="223"/>
      <c r="AW123" s="223"/>
      <c r="AX123" s="223"/>
      <c r="AY123" s="223"/>
      <c r="AZ123" s="223"/>
      <c r="BB123" s="223"/>
      <c r="BI123" s="125">
        <v>138741</v>
      </c>
      <c r="BJ123" s="125">
        <v>553000</v>
      </c>
      <c r="CI123" s="125" t="s">
        <v>260</v>
      </c>
      <c r="CJ123" s="125" t="s">
        <v>271</v>
      </c>
      <c r="CK123" s="125" t="s">
        <v>261</v>
      </c>
    </row>
    <row r="124" s="125" customFormat="1" customHeight="1" spans="1:92">
      <c r="A124" s="174">
        <v>88</v>
      </c>
      <c r="C124" s="184">
        <v>45318</v>
      </c>
      <c r="D124" s="125">
        <v>20240000618</v>
      </c>
      <c r="F124" s="1037" t="s">
        <v>3771</v>
      </c>
      <c r="G124" s="125" t="s">
        <v>3772</v>
      </c>
      <c r="H124" s="1037" t="s">
        <v>3773</v>
      </c>
      <c r="I124" s="125" t="s">
        <v>3774</v>
      </c>
      <c r="J124" s="125">
        <v>115.78</v>
      </c>
      <c r="K124" s="125">
        <v>115.78</v>
      </c>
      <c r="L124" s="125">
        <v>5268.61</v>
      </c>
      <c r="M124" s="282">
        <v>610000</v>
      </c>
      <c r="N124" s="223">
        <v>5227</v>
      </c>
      <c r="O124" s="165">
        <v>559633.03</v>
      </c>
      <c r="P124" s="1038" t="s">
        <v>3775</v>
      </c>
      <c r="Q124" s="210">
        <v>45827</v>
      </c>
      <c r="R124" s="223"/>
      <c r="S124" s="224"/>
      <c r="T124" s="174"/>
      <c r="U124" s="224" t="s">
        <v>294</v>
      </c>
      <c r="V124" s="223">
        <v>10000</v>
      </c>
      <c r="W124" s="224" t="s">
        <v>3759</v>
      </c>
      <c r="X124" s="223">
        <v>600000</v>
      </c>
      <c r="Y124" s="210" t="s">
        <v>898</v>
      </c>
      <c r="AA124" s="171"/>
      <c r="AB124" s="223"/>
      <c r="AH124" s="223">
        <f t="shared" si="11"/>
        <v>610000</v>
      </c>
      <c r="AK124" s="171">
        <f t="shared" si="15"/>
        <v>0</v>
      </c>
      <c r="AL124" s="125">
        <v>19993509038</v>
      </c>
      <c r="AM124" s="175"/>
      <c r="AO124" s="125">
        <f t="shared" si="13"/>
        <v>610000</v>
      </c>
      <c r="AP124" s="169">
        <f>0.7%+0.04%+0.12%</f>
        <v>0.0086</v>
      </c>
      <c r="AQ124" s="283">
        <f t="shared" si="12"/>
        <v>0</v>
      </c>
      <c r="AR124" s="223"/>
      <c r="AS124" s="223"/>
      <c r="AT124" s="223"/>
      <c r="AU124" s="223"/>
      <c r="AV124" s="223"/>
      <c r="AW124" s="223"/>
      <c r="AX124" s="223"/>
      <c r="AY124" s="223"/>
      <c r="AZ124" s="223"/>
      <c r="BB124" s="223"/>
      <c r="BE124" s="125">
        <v>610000</v>
      </c>
      <c r="CI124" s="125" t="s">
        <v>260</v>
      </c>
      <c r="CJ124" s="125" t="s">
        <v>271</v>
      </c>
      <c r="CK124" s="125" t="s">
        <v>261</v>
      </c>
    </row>
    <row r="125" s="125" customFormat="1" customHeight="1" spans="1:92">
      <c r="A125" s="174">
        <v>89</v>
      </c>
      <c r="C125" s="184">
        <v>45355</v>
      </c>
      <c r="D125" s="125">
        <v>20240001139</v>
      </c>
      <c r="F125" s="1037" t="s">
        <v>3776</v>
      </c>
      <c r="G125" s="125" t="s">
        <v>3777</v>
      </c>
      <c r="H125" s="1037" t="s">
        <v>3778</v>
      </c>
      <c r="I125" s="125" t="s">
        <v>3779</v>
      </c>
      <c r="J125" s="125">
        <v>86.14</v>
      </c>
      <c r="K125" s="125">
        <v>86.14</v>
      </c>
      <c r="L125" s="125">
        <v>5357</v>
      </c>
      <c r="M125" s="282">
        <v>461452</v>
      </c>
      <c r="N125" s="223">
        <v>5257</v>
      </c>
      <c r="O125" s="165">
        <v>423350.46</v>
      </c>
      <c r="P125" s="1038" t="s">
        <v>3780</v>
      </c>
      <c r="Q125" s="210">
        <v>45827</v>
      </c>
      <c r="R125" s="223"/>
      <c r="S125" s="224"/>
      <c r="T125" s="174"/>
      <c r="U125" s="224" t="s">
        <v>284</v>
      </c>
      <c r="V125" s="223">
        <v>1452</v>
      </c>
      <c r="W125" s="224" t="s">
        <v>365</v>
      </c>
      <c r="X125" s="223">
        <v>90000</v>
      </c>
      <c r="Y125" s="210" t="s">
        <v>3781</v>
      </c>
      <c r="Z125" s="125">
        <v>30000</v>
      </c>
      <c r="AA125" s="171" t="s">
        <v>2805</v>
      </c>
      <c r="AB125" s="223">
        <v>340000</v>
      </c>
      <c r="AC125" s="224" t="s">
        <v>296</v>
      </c>
      <c r="AH125" s="223">
        <f t="shared" si="11"/>
        <v>461452</v>
      </c>
      <c r="AK125" s="171">
        <f t="shared" si="15"/>
        <v>0</v>
      </c>
      <c r="AL125" s="125">
        <v>19190048233</v>
      </c>
      <c r="AM125" s="175"/>
      <c r="AO125" s="125">
        <f t="shared" si="13"/>
        <v>461452</v>
      </c>
      <c r="AP125" s="169">
        <f>0.7%+0.04%+0.12%</f>
        <v>0.0086</v>
      </c>
      <c r="AQ125" s="283">
        <f t="shared" si="12"/>
        <v>0</v>
      </c>
      <c r="AR125" s="223"/>
      <c r="AS125" s="223"/>
      <c r="AT125" s="223"/>
      <c r="AU125" s="223"/>
      <c r="AV125" s="223"/>
      <c r="AW125" s="223"/>
      <c r="AX125" s="223"/>
      <c r="AY125" s="223"/>
      <c r="AZ125" s="223"/>
      <c r="BB125" s="223"/>
      <c r="BG125" s="125">
        <v>121452</v>
      </c>
      <c r="BH125" s="125">
        <v>340000</v>
      </c>
      <c r="CI125" s="125" t="s">
        <v>260</v>
      </c>
      <c r="CJ125" s="125" t="s">
        <v>271</v>
      </c>
      <c r="CK125" s="125" t="s">
        <v>261</v>
      </c>
      <c r="CN125" s="125">
        <f>CL125-CM125</f>
        <v>0</v>
      </c>
    </row>
    <row r="126" s="125" customFormat="1" customHeight="1" spans="1:92">
      <c r="A126" s="174">
        <v>90</v>
      </c>
      <c r="C126" s="184">
        <v>45355</v>
      </c>
      <c r="D126" s="125">
        <v>20240001135</v>
      </c>
      <c r="F126" s="1037" t="s">
        <v>3782</v>
      </c>
      <c r="G126" s="125" t="s">
        <v>3783</v>
      </c>
      <c r="H126" s="1037" t="s">
        <v>3784</v>
      </c>
      <c r="I126" s="125" t="s">
        <v>3785</v>
      </c>
      <c r="J126" s="125">
        <v>132.34</v>
      </c>
      <c r="K126" s="125">
        <v>132.34</v>
      </c>
      <c r="L126" s="125">
        <v>5289.4</v>
      </c>
      <c r="M126" s="282">
        <v>700000</v>
      </c>
      <c r="N126" s="223">
        <v>5207</v>
      </c>
      <c r="O126" s="165">
        <v>642201.83</v>
      </c>
      <c r="P126" s="1038" t="s">
        <v>3786</v>
      </c>
      <c r="Q126" s="210">
        <v>45827</v>
      </c>
      <c r="R126" s="223"/>
      <c r="S126" s="224"/>
      <c r="T126" s="174"/>
      <c r="U126" s="224" t="s">
        <v>294</v>
      </c>
      <c r="V126" s="223">
        <v>20000</v>
      </c>
      <c r="W126" s="224" t="s">
        <v>363</v>
      </c>
      <c r="X126" s="223">
        <f>140000+240000</f>
        <v>380000</v>
      </c>
      <c r="Y126" s="224" t="s">
        <v>3787</v>
      </c>
      <c r="Z126" s="125">
        <v>300000</v>
      </c>
      <c r="AA126" s="171" t="s">
        <v>3788</v>
      </c>
      <c r="AB126" s="223"/>
      <c r="AH126" s="223">
        <f t="shared" si="11"/>
        <v>700000</v>
      </c>
      <c r="AK126" s="171">
        <f t="shared" si="15"/>
        <v>0</v>
      </c>
      <c r="AL126" s="125">
        <v>13239065687</v>
      </c>
      <c r="AM126" s="175"/>
      <c r="AN126" s="125" t="s">
        <v>3789</v>
      </c>
      <c r="AO126" s="125">
        <f t="shared" si="13"/>
        <v>700000</v>
      </c>
      <c r="AP126" s="169">
        <f>0.7%+0.05%+0.12%</f>
        <v>0.0087</v>
      </c>
      <c r="AQ126" s="283">
        <f t="shared" si="12"/>
        <v>0</v>
      </c>
      <c r="AR126" s="223"/>
      <c r="AS126" s="223"/>
      <c r="AT126" s="223"/>
      <c r="AU126" s="223"/>
      <c r="AV126" s="223"/>
      <c r="AW126" s="223"/>
      <c r="AX126" s="223"/>
      <c r="AY126" s="223"/>
      <c r="AZ126" s="223"/>
      <c r="BB126" s="223"/>
      <c r="BG126" s="125">
        <v>700000</v>
      </c>
      <c r="CI126" s="125" t="s">
        <v>260</v>
      </c>
      <c r="CJ126" s="125" t="s">
        <v>271</v>
      </c>
      <c r="CK126" s="125" t="s">
        <v>261</v>
      </c>
    </row>
    <row r="127" s="125" customFormat="1" customHeight="1" spans="1:92">
      <c r="A127" s="174">
        <v>91</v>
      </c>
      <c r="C127" s="184">
        <v>45316</v>
      </c>
      <c r="D127" s="125">
        <v>20240000347</v>
      </c>
      <c r="F127" s="1037" t="s">
        <v>3790</v>
      </c>
      <c r="G127" s="125" t="s">
        <v>3791</v>
      </c>
      <c r="H127" s="1037" t="s">
        <v>3792</v>
      </c>
      <c r="I127" s="125" t="s">
        <v>3793</v>
      </c>
      <c r="J127" s="125">
        <v>115.78</v>
      </c>
      <c r="K127" s="125">
        <v>115.78</v>
      </c>
      <c r="L127" s="125">
        <v>5300</v>
      </c>
      <c r="M127" s="282">
        <v>613634</v>
      </c>
      <c r="N127" s="223">
        <v>5265</v>
      </c>
      <c r="O127" s="165">
        <v>562966.97</v>
      </c>
      <c r="P127" s="1038" t="s">
        <v>3794</v>
      </c>
      <c r="Q127" s="210">
        <v>45827</v>
      </c>
      <c r="R127" s="223"/>
      <c r="S127" s="224"/>
      <c r="T127" s="1038" t="s">
        <v>3795</v>
      </c>
      <c r="U127" s="224" t="s">
        <v>2160</v>
      </c>
      <c r="V127" s="223">
        <v>2000</v>
      </c>
      <c r="W127" s="224" t="s">
        <v>897</v>
      </c>
      <c r="X127" s="223">
        <v>18000</v>
      </c>
      <c r="Y127" s="224" t="s">
        <v>566</v>
      </c>
      <c r="Z127" s="125">
        <v>164634</v>
      </c>
      <c r="AA127" s="171" t="s">
        <v>3796</v>
      </c>
      <c r="AB127" s="223">
        <v>429000</v>
      </c>
      <c r="AC127" s="224" t="s">
        <v>599</v>
      </c>
      <c r="AH127" s="223">
        <f t="shared" si="11"/>
        <v>613634</v>
      </c>
      <c r="AK127" s="171">
        <f t="shared" ref="AK126:AK129" si="16">M127-AH127</f>
        <v>0</v>
      </c>
      <c r="AL127" s="125">
        <v>15899021367</v>
      </c>
      <c r="AM127" s="175"/>
      <c r="AO127" s="125">
        <f t="shared" si="13"/>
        <v>613634</v>
      </c>
      <c r="AP127" s="169">
        <f>0.4%+0.02%+0.08%</f>
        <v>0.005</v>
      </c>
      <c r="AQ127" s="283">
        <f t="shared" si="12"/>
        <v>0</v>
      </c>
      <c r="AR127" s="223"/>
      <c r="AS127" s="223"/>
      <c r="AT127" s="223"/>
      <c r="AU127" s="223"/>
      <c r="AV127" s="223"/>
      <c r="AW127" s="223"/>
      <c r="AX127" s="223"/>
      <c r="AY127" s="223"/>
      <c r="AZ127" s="223"/>
      <c r="BB127" s="223"/>
      <c r="BE127" s="125">
        <v>184634</v>
      </c>
      <c r="BF127" s="125">
        <v>429000</v>
      </c>
      <c r="CI127" s="125" t="s">
        <v>260</v>
      </c>
      <c r="CJ127" s="125" t="s">
        <v>271</v>
      </c>
      <c r="CK127" s="125" t="s">
        <v>261</v>
      </c>
    </row>
    <row r="128" s="125" customFormat="1" customHeight="1" spans="1:92">
      <c r="A128" s="174">
        <v>92</v>
      </c>
      <c r="C128" s="184">
        <v>45356</v>
      </c>
      <c r="D128" s="125">
        <v>20240001157</v>
      </c>
      <c r="F128" s="1037" t="s">
        <v>3797</v>
      </c>
      <c r="G128" s="125" t="s">
        <v>3798</v>
      </c>
      <c r="H128" s="1037" t="s">
        <v>3799</v>
      </c>
      <c r="I128" s="125" t="s">
        <v>3800</v>
      </c>
      <c r="J128" s="125">
        <v>86.14</v>
      </c>
      <c r="K128" s="125">
        <v>86.14</v>
      </c>
      <c r="L128" s="125">
        <v>5395</v>
      </c>
      <c r="M128" s="282">
        <v>464725</v>
      </c>
      <c r="N128" s="223">
        <v>5295</v>
      </c>
      <c r="O128" s="165">
        <v>426353.21</v>
      </c>
      <c r="P128" s="1038" t="s">
        <v>3801</v>
      </c>
      <c r="Q128" s="210">
        <v>45827</v>
      </c>
      <c r="R128" s="223"/>
      <c r="S128" s="224"/>
      <c r="T128" s="174"/>
      <c r="U128" s="224" t="s">
        <v>561</v>
      </c>
      <c r="V128" s="223">
        <v>20000</v>
      </c>
      <c r="W128" s="224" t="s">
        <v>566</v>
      </c>
      <c r="X128" s="223">
        <v>194725</v>
      </c>
      <c r="Y128" s="224" t="s">
        <v>753</v>
      </c>
      <c r="Z128" s="125">
        <v>90000</v>
      </c>
      <c r="AA128" s="171" t="s">
        <v>753</v>
      </c>
      <c r="AB128" s="223">
        <v>160000</v>
      </c>
      <c r="AC128" s="224" t="s">
        <v>3802</v>
      </c>
      <c r="AH128" s="223">
        <f t="shared" si="11"/>
        <v>464725</v>
      </c>
      <c r="AK128" s="171">
        <f t="shared" si="16"/>
        <v>0</v>
      </c>
      <c r="AL128" s="125">
        <v>18799835198</v>
      </c>
      <c r="AM128" s="175"/>
      <c r="AO128" s="125">
        <f t="shared" si="13"/>
        <v>464725</v>
      </c>
      <c r="AP128" s="169">
        <f>0.4%+0.02%+0.08%</f>
        <v>0.005</v>
      </c>
      <c r="AQ128" s="283">
        <f t="shared" si="12"/>
        <v>0</v>
      </c>
      <c r="AR128" s="223"/>
      <c r="AS128" s="223"/>
      <c r="AT128" s="223"/>
      <c r="AU128" s="223"/>
      <c r="AV128" s="223"/>
      <c r="AW128" s="223"/>
      <c r="AX128" s="223"/>
      <c r="AY128" s="223"/>
      <c r="AZ128" s="223"/>
      <c r="BB128" s="223"/>
      <c r="BG128" s="125">
        <v>304725</v>
      </c>
      <c r="BJ128" s="125">
        <v>160000</v>
      </c>
      <c r="CI128" s="125" t="s">
        <v>260</v>
      </c>
      <c r="CJ128" s="125" t="s">
        <v>271</v>
      </c>
      <c r="CK128" s="125" t="s">
        <v>261</v>
      </c>
    </row>
    <row r="129" s="125" customFormat="1" customHeight="1" spans="1:89">
      <c r="A129" s="174">
        <v>93</v>
      </c>
      <c r="C129" s="293">
        <v>45301</v>
      </c>
      <c r="D129" s="125">
        <v>20240000217</v>
      </c>
      <c r="F129" s="1037" t="s">
        <v>3803</v>
      </c>
      <c r="G129" s="125" t="s">
        <v>3804</v>
      </c>
      <c r="H129" s="1037" t="s">
        <v>3805</v>
      </c>
      <c r="I129" s="125" t="s">
        <v>3806</v>
      </c>
      <c r="J129" s="125">
        <v>132.34</v>
      </c>
      <c r="K129" s="125">
        <v>132.34</v>
      </c>
      <c r="L129" s="125">
        <v>5354</v>
      </c>
      <c r="M129" s="282">
        <v>708548</v>
      </c>
      <c r="N129" s="223">
        <v>5254</v>
      </c>
      <c r="O129" s="165">
        <v>650044.04</v>
      </c>
      <c r="P129" s="1038" t="s">
        <v>3807</v>
      </c>
      <c r="Q129" s="210">
        <v>45827</v>
      </c>
      <c r="R129" s="223"/>
      <c r="S129" s="224"/>
      <c r="T129" s="1038" t="s">
        <v>3808</v>
      </c>
      <c r="U129" s="224" t="s">
        <v>267</v>
      </c>
      <c r="V129" s="223">
        <v>2000</v>
      </c>
      <c r="W129" s="224" t="s">
        <v>480</v>
      </c>
      <c r="X129" s="223">
        <v>18000</v>
      </c>
      <c r="Y129" s="224" t="s">
        <v>566</v>
      </c>
      <c r="Z129" s="125">
        <v>78548</v>
      </c>
      <c r="AA129" s="171" t="s">
        <v>566</v>
      </c>
      <c r="AB129" s="223">
        <v>50000</v>
      </c>
      <c r="AC129" s="125" t="s">
        <v>287</v>
      </c>
      <c r="AD129" s="223">
        <v>560000</v>
      </c>
      <c r="AE129" s="224" t="s">
        <v>3809</v>
      </c>
      <c r="AH129" s="223">
        <f t="shared" si="11"/>
        <v>708548</v>
      </c>
      <c r="AK129" s="171">
        <f t="shared" ref="AK129:AK135" si="17">M129-AH129</f>
        <v>0</v>
      </c>
      <c r="AL129" s="125">
        <v>18434064590</v>
      </c>
      <c r="AM129" s="175"/>
      <c r="AO129" s="125">
        <f t="shared" si="13"/>
        <v>708548</v>
      </c>
      <c r="AP129" s="169">
        <f>0.7%+0.08%</f>
        <v>0.0078</v>
      </c>
      <c r="AQ129" s="283">
        <f t="shared" si="12"/>
        <v>0</v>
      </c>
      <c r="AR129" s="223"/>
      <c r="AS129" s="223"/>
      <c r="AT129" s="223"/>
      <c r="AU129" s="223"/>
      <c r="AV129" s="223"/>
      <c r="AW129" s="223"/>
      <c r="AX129" s="223"/>
      <c r="AY129" s="223"/>
      <c r="AZ129" s="223"/>
      <c r="BB129" s="223"/>
      <c r="BE129" s="125">
        <v>148548</v>
      </c>
      <c r="BG129" s="125">
        <v>560000</v>
      </c>
      <c r="CI129" s="125" t="s">
        <v>260</v>
      </c>
      <c r="CJ129" s="125" t="s">
        <v>271</v>
      </c>
      <c r="CK129" s="125" t="s">
        <v>261</v>
      </c>
    </row>
    <row r="130" s="125" customFormat="1" customHeight="1" spans="1:89">
      <c r="A130" s="174">
        <v>94</v>
      </c>
      <c r="C130" s="184">
        <v>45378</v>
      </c>
      <c r="D130" s="125">
        <v>20240001668</v>
      </c>
      <c r="F130" s="125" t="s">
        <v>3810</v>
      </c>
      <c r="G130" s="125" t="s">
        <v>3237</v>
      </c>
      <c r="H130" s="1037" t="s">
        <v>3811</v>
      </c>
      <c r="I130" s="125" t="s">
        <v>3812</v>
      </c>
      <c r="J130" s="125">
        <v>115.78</v>
      </c>
      <c r="K130" s="125">
        <v>115.78</v>
      </c>
      <c r="L130" s="125">
        <v>5397</v>
      </c>
      <c r="M130" s="282">
        <v>624865</v>
      </c>
      <c r="N130" s="223">
        <v>5297</v>
      </c>
      <c r="O130" s="165">
        <v>573270.64</v>
      </c>
      <c r="P130" s="1038" t="s">
        <v>3813</v>
      </c>
      <c r="Q130" s="210">
        <v>45827</v>
      </c>
      <c r="R130" s="223"/>
      <c r="S130" s="224"/>
      <c r="T130" s="174"/>
      <c r="U130" s="224" t="s">
        <v>561</v>
      </c>
      <c r="V130" s="223">
        <v>20000</v>
      </c>
      <c r="W130" s="224" t="s">
        <v>3324</v>
      </c>
      <c r="X130" s="223">
        <f>95865+10000</f>
        <v>105865</v>
      </c>
      <c r="Y130" s="224" t="s">
        <v>526</v>
      </c>
      <c r="Z130" s="223">
        <v>499000</v>
      </c>
      <c r="AA130" s="224" t="s">
        <v>3689</v>
      </c>
      <c r="AB130" s="223"/>
      <c r="AH130" s="223">
        <f t="shared" si="11"/>
        <v>624865</v>
      </c>
      <c r="AK130" s="171">
        <f t="shared" si="17"/>
        <v>0</v>
      </c>
      <c r="AL130" s="125">
        <v>13638347657</v>
      </c>
      <c r="AM130" s="175"/>
      <c r="AO130" s="125">
        <f t="shared" si="13"/>
        <v>624865</v>
      </c>
      <c r="AP130" s="169">
        <f>0.4%+0.04%+0.12%</f>
        <v>0.0056</v>
      </c>
      <c r="AQ130" s="283">
        <f t="shared" si="12"/>
        <v>0</v>
      </c>
      <c r="AR130" s="223"/>
      <c r="AS130" s="223"/>
      <c r="AT130" s="223"/>
      <c r="AU130" s="223"/>
      <c r="AV130" s="223"/>
      <c r="AW130" s="223"/>
      <c r="AX130" s="223"/>
      <c r="AY130" s="223"/>
      <c r="AZ130" s="223"/>
      <c r="BB130" s="223"/>
      <c r="BG130" s="125">
        <v>125865</v>
      </c>
      <c r="BH130" s="125">
        <v>499000</v>
      </c>
      <c r="CI130" s="125" t="s">
        <v>260</v>
      </c>
      <c r="CJ130" s="125" t="s">
        <v>271</v>
      </c>
      <c r="CK130" s="125" t="s">
        <v>261</v>
      </c>
    </row>
    <row r="131" s="125" customFormat="1" customHeight="1" spans="1:89">
      <c r="A131" s="174">
        <v>95</v>
      </c>
      <c r="B131" s="125"/>
      <c r="C131" s="184">
        <v>45569</v>
      </c>
      <c r="D131" s="125">
        <v>20240005803</v>
      </c>
      <c r="F131" s="1037" t="s">
        <v>3814</v>
      </c>
      <c r="G131" s="125" t="s">
        <v>3815</v>
      </c>
      <c r="H131" s="1037" t="s">
        <v>3816</v>
      </c>
      <c r="I131" s="125" t="s">
        <v>3817</v>
      </c>
      <c r="J131" s="125">
        <v>86.14</v>
      </c>
      <c r="K131" s="125">
        <v>86.14</v>
      </c>
      <c r="L131" s="125">
        <v>5224.05</v>
      </c>
      <c r="M131" s="282">
        <v>450000</v>
      </c>
      <c r="N131" s="223">
        <v>5224.05</v>
      </c>
      <c r="O131" s="165">
        <v>412844.04</v>
      </c>
      <c r="P131" s="1038" t="s">
        <v>3818</v>
      </c>
      <c r="Q131" s="210">
        <v>45827</v>
      </c>
      <c r="R131" s="223"/>
      <c r="S131" s="224"/>
      <c r="T131" s="174"/>
      <c r="U131" s="224" t="s">
        <v>656</v>
      </c>
      <c r="V131" s="223">
        <v>10000</v>
      </c>
      <c r="W131" s="224">
        <v>45559</v>
      </c>
      <c r="X131" s="223">
        <v>220000</v>
      </c>
      <c r="Y131" s="224" t="s">
        <v>497</v>
      </c>
      <c r="Z131" s="223">
        <v>220000</v>
      </c>
      <c r="AA131" s="224" t="s">
        <v>391</v>
      </c>
      <c r="AB131" s="223"/>
      <c r="AH131" s="223">
        <f t="shared" si="11"/>
        <v>450000</v>
      </c>
      <c r="AK131" s="171">
        <f t="shared" si="17"/>
        <v>0</v>
      </c>
      <c r="AL131" s="125">
        <v>15739825490</v>
      </c>
      <c r="AM131" s="175" t="s">
        <v>3819</v>
      </c>
      <c r="AO131" s="125">
        <f t="shared" si="13"/>
        <v>450000</v>
      </c>
      <c r="AP131" s="169">
        <f>0.5%+0.04%+0.1%</f>
        <v>0.0064</v>
      </c>
      <c r="AQ131" s="283">
        <f t="shared" si="12"/>
        <v>0</v>
      </c>
      <c r="AR131" s="223"/>
      <c r="AS131" s="223"/>
      <c r="AT131" s="223"/>
      <c r="AU131" s="223"/>
      <c r="AV131" s="223"/>
      <c r="AW131" s="223"/>
      <c r="AX131" s="223"/>
      <c r="AY131" s="223"/>
      <c r="AZ131" s="223"/>
      <c r="BB131" s="223"/>
      <c r="BN131" s="125">
        <v>230000</v>
      </c>
      <c r="BO131" s="125">
        <v>220000</v>
      </c>
      <c r="CI131" s="125" t="s">
        <v>260</v>
      </c>
      <c r="CK131" s="125" t="s">
        <v>261</v>
      </c>
    </row>
    <row r="132" s="125" customFormat="1" customHeight="1" spans="1:89">
      <c r="A132" s="174">
        <v>96</v>
      </c>
      <c r="C132" s="184">
        <v>45315</v>
      </c>
      <c r="D132" s="125">
        <v>20240000554</v>
      </c>
      <c r="F132" s="1037" t="s">
        <v>3820</v>
      </c>
      <c r="G132" s="125" t="s">
        <v>3821</v>
      </c>
      <c r="H132" s="1037" t="s">
        <v>3822</v>
      </c>
      <c r="I132" s="125" t="s">
        <v>3823</v>
      </c>
      <c r="J132" s="125">
        <v>132.34</v>
      </c>
      <c r="K132" s="125">
        <v>132.34</v>
      </c>
      <c r="L132" s="125">
        <v>5387</v>
      </c>
      <c r="M132" s="282">
        <v>712916</v>
      </c>
      <c r="N132" s="223">
        <v>5287</v>
      </c>
      <c r="O132" s="165">
        <v>654051.38</v>
      </c>
      <c r="P132" s="1038" t="s">
        <v>3824</v>
      </c>
      <c r="Q132" s="210">
        <v>45827</v>
      </c>
      <c r="R132" s="223"/>
      <c r="S132" s="224"/>
      <c r="T132" s="174"/>
      <c r="U132" s="224" t="s">
        <v>284</v>
      </c>
      <c r="V132" s="223">
        <v>20000</v>
      </c>
      <c r="W132" s="224" t="s">
        <v>2615</v>
      </c>
      <c r="X132" s="223">
        <f>160000+2916</f>
        <v>162916</v>
      </c>
      <c r="Y132" s="210" t="s">
        <v>515</v>
      </c>
      <c r="Z132" s="223">
        <v>530000</v>
      </c>
      <c r="AA132" s="224" t="s">
        <v>3752</v>
      </c>
      <c r="AB132" s="223"/>
      <c r="AH132" s="223">
        <f t="shared" si="11"/>
        <v>712916</v>
      </c>
      <c r="AK132" s="171">
        <f t="shared" si="17"/>
        <v>0</v>
      </c>
      <c r="AL132" s="125">
        <v>19399210813</v>
      </c>
      <c r="AM132" s="175"/>
      <c r="AO132" s="125">
        <f t="shared" si="13"/>
        <v>712916</v>
      </c>
      <c r="AP132" s="169">
        <f>0.7%+0.03%+0.12%</f>
        <v>0.0085</v>
      </c>
      <c r="AQ132" s="283">
        <f t="shared" si="12"/>
        <v>0</v>
      </c>
      <c r="AR132" s="223"/>
      <c r="AS132" s="223"/>
      <c r="AT132" s="223"/>
      <c r="AU132" s="223"/>
      <c r="AV132" s="223"/>
      <c r="AW132" s="223"/>
      <c r="AX132" s="223"/>
      <c r="AY132" s="223"/>
      <c r="AZ132" s="223"/>
      <c r="BB132" s="223"/>
      <c r="BE132" s="125">
        <v>182916</v>
      </c>
      <c r="BG132" s="125">
        <v>530000</v>
      </c>
      <c r="CI132" s="125" t="s">
        <v>260</v>
      </c>
      <c r="CJ132" s="125" t="s">
        <v>271</v>
      </c>
      <c r="CK132" s="125" t="s">
        <v>261</v>
      </c>
    </row>
    <row r="133" s="125" customFormat="1" customHeight="1" spans="1:89">
      <c r="A133" s="174">
        <v>97</v>
      </c>
      <c r="C133" s="184">
        <v>45401</v>
      </c>
      <c r="D133" s="125">
        <v>20240002180</v>
      </c>
      <c r="F133" s="1037" t="s">
        <v>3825</v>
      </c>
      <c r="G133" s="175" t="s">
        <v>3826</v>
      </c>
      <c r="H133" s="1037" t="s">
        <v>3827</v>
      </c>
      <c r="I133" s="125" t="s">
        <v>3828</v>
      </c>
      <c r="J133" s="125">
        <v>115.78</v>
      </c>
      <c r="K133" s="125">
        <v>115.78</v>
      </c>
      <c r="L133" s="125">
        <v>5383.8</v>
      </c>
      <c r="M133" s="282">
        <v>623338</v>
      </c>
      <c r="N133" s="223">
        <v>5327</v>
      </c>
      <c r="O133" s="165">
        <v>571869.72</v>
      </c>
      <c r="P133" s="1038" t="s">
        <v>3829</v>
      </c>
      <c r="Q133" s="210">
        <v>45827</v>
      </c>
      <c r="R133" s="223"/>
      <c r="S133" s="224"/>
      <c r="T133" s="292" t="s">
        <v>3830</v>
      </c>
      <c r="U133" s="224" t="s">
        <v>3831</v>
      </c>
      <c r="V133" s="223">
        <f>2000-2000</f>
        <v>0</v>
      </c>
      <c r="W133" s="224" t="s">
        <v>2956</v>
      </c>
      <c r="X133" s="223">
        <v>20000</v>
      </c>
      <c r="Y133" s="224" t="s">
        <v>1754</v>
      </c>
      <c r="Z133" s="223">
        <f>115338+88000</f>
        <v>203338</v>
      </c>
      <c r="AA133" s="224" t="s">
        <v>269</v>
      </c>
      <c r="AB133" s="223">
        <v>400000</v>
      </c>
      <c r="AC133" s="224" t="s">
        <v>3437</v>
      </c>
      <c r="AH133" s="223">
        <f t="shared" si="11"/>
        <v>623338</v>
      </c>
      <c r="AK133" s="171">
        <f t="shared" si="17"/>
        <v>0</v>
      </c>
      <c r="AL133" s="125">
        <v>13565004173</v>
      </c>
      <c r="AM133" s="175"/>
      <c r="AO133" s="125">
        <f t="shared" si="13"/>
        <v>623338</v>
      </c>
      <c r="AP133" s="169">
        <f>0.7%+0.03%+0.12%</f>
        <v>0.0085</v>
      </c>
      <c r="AQ133" s="283">
        <f t="shared" si="12"/>
        <v>0</v>
      </c>
      <c r="AR133" s="223"/>
      <c r="AS133" s="223"/>
      <c r="AT133" s="223"/>
      <c r="AU133" s="223"/>
      <c r="AV133" s="223"/>
      <c r="AW133" s="223"/>
      <c r="AX133" s="223"/>
      <c r="AY133" s="223"/>
      <c r="AZ133" s="223"/>
      <c r="BB133" s="223"/>
      <c r="BK133" s="125">
        <v>623338</v>
      </c>
      <c r="CI133" s="125" t="s">
        <v>260</v>
      </c>
      <c r="CK133" s="125" t="s">
        <v>261</v>
      </c>
    </row>
    <row r="134" s="125" customFormat="1" customHeight="1" spans="1:89">
      <c r="A134" s="174">
        <v>98</v>
      </c>
      <c r="C134" s="184">
        <v>45465</v>
      </c>
      <c r="D134" s="125">
        <v>20240003574</v>
      </c>
      <c r="F134" s="1037" t="s">
        <v>3832</v>
      </c>
      <c r="G134" s="125" t="s">
        <v>3833</v>
      </c>
      <c r="H134" s="1037" t="s">
        <v>3834</v>
      </c>
      <c r="I134" s="125" t="s">
        <v>3835</v>
      </c>
      <c r="J134" s="125">
        <v>86.14</v>
      </c>
      <c r="K134" s="125">
        <v>86.14</v>
      </c>
      <c r="L134" s="125">
        <v>5130</v>
      </c>
      <c r="M134" s="282">
        <v>441899</v>
      </c>
      <c r="N134" s="223">
        <v>5130</v>
      </c>
      <c r="O134" s="165">
        <v>405411.93</v>
      </c>
      <c r="P134" s="1038" t="s">
        <v>3836</v>
      </c>
      <c r="Q134" s="210">
        <v>45827</v>
      </c>
      <c r="R134" s="223"/>
      <c r="S134" s="224"/>
      <c r="T134" s="174"/>
      <c r="U134" s="224" t="s">
        <v>277</v>
      </c>
      <c r="V134" s="223">
        <v>10000</v>
      </c>
      <c r="W134" s="224" t="s">
        <v>502</v>
      </c>
      <c r="X134" s="223">
        <v>1899</v>
      </c>
      <c r="Y134" s="210" t="s">
        <v>3837</v>
      </c>
      <c r="Z134" s="223">
        <v>430000</v>
      </c>
      <c r="AA134" s="224" t="s">
        <v>3838</v>
      </c>
      <c r="AB134" s="223"/>
      <c r="AH134" s="223">
        <f t="shared" si="11"/>
        <v>441899</v>
      </c>
      <c r="AK134" s="171">
        <f t="shared" si="17"/>
        <v>0</v>
      </c>
      <c r="AL134" s="125">
        <v>13999013808</v>
      </c>
      <c r="AM134" s="175" t="s">
        <v>3839</v>
      </c>
      <c r="AO134" s="125">
        <f t="shared" si="13"/>
        <v>441899</v>
      </c>
      <c r="AP134" s="169">
        <f>0.4%+0.02%+0.08%</f>
        <v>0.005</v>
      </c>
      <c r="AQ134" s="283">
        <f t="shared" si="12"/>
        <v>0</v>
      </c>
      <c r="AR134" s="223"/>
      <c r="AS134" s="223"/>
      <c r="AT134" s="223"/>
      <c r="AU134" s="223"/>
      <c r="AV134" s="223"/>
      <c r="AW134" s="223"/>
      <c r="AX134" s="223"/>
      <c r="AY134" s="223"/>
      <c r="AZ134" s="223"/>
      <c r="BB134" s="223"/>
      <c r="BK134" s="125">
        <v>441899</v>
      </c>
      <c r="CI134" s="125" t="s">
        <v>260</v>
      </c>
      <c r="CK134" s="125" t="s">
        <v>261</v>
      </c>
    </row>
    <row r="135" s="125" customFormat="1" customHeight="1" spans="1:89">
      <c r="A135" s="174">
        <v>99</v>
      </c>
      <c r="C135" s="184">
        <v>45355</v>
      </c>
      <c r="D135" s="125">
        <v>20240001144</v>
      </c>
      <c r="F135" s="1037" t="s">
        <v>3840</v>
      </c>
      <c r="G135" s="125" t="s">
        <v>3841</v>
      </c>
      <c r="H135" s="1037" t="s">
        <v>3842</v>
      </c>
      <c r="I135" s="125" t="s">
        <v>3843</v>
      </c>
      <c r="J135" s="125">
        <v>132.34</v>
      </c>
      <c r="K135" s="125">
        <v>132.34</v>
      </c>
      <c r="L135" s="125">
        <v>5387.64</v>
      </c>
      <c r="M135" s="282">
        <v>713000</v>
      </c>
      <c r="N135" s="223">
        <v>5324</v>
      </c>
      <c r="O135" s="165">
        <v>654128.44</v>
      </c>
      <c r="P135" s="1038" t="s">
        <v>3844</v>
      </c>
      <c r="Q135" s="210">
        <v>45827</v>
      </c>
      <c r="R135" s="223"/>
      <c r="S135" s="224"/>
      <c r="T135" s="174"/>
      <c r="U135" s="224" t="s">
        <v>2160</v>
      </c>
      <c r="V135" s="223">
        <v>20000</v>
      </c>
      <c r="W135" s="224" t="s">
        <v>3845</v>
      </c>
      <c r="X135" s="223">
        <v>123000</v>
      </c>
      <c r="Y135" s="224" t="s">
        <v>3787</v>
      </c>
      <c r="Z135" s="125">
        <v>570000</v>
      </c>
      <c r="AA135" s="171" t="s">
        <v>3788</v>
      </c>
      <c r="AB135" s="223"/>
      <c r="AH135" s="223">
        <f t="shared" ref="AH135:AH198" si="18">V135+X135+Z135+AB135+AD135+AF135</f>
        <v>713000</v>
      </c>
      <c r="AK135" s="171">
        <f t="shared" si="17"/>
        <v>0</v>
      </c>
      <c r="AL135" s="125">
        <v>15739382222</v>
      </c>
      <c r="AM135" s="175"/>
      <c r="AO135" s="125">
        <f t="shared" ref="AO135:AO198" si="19">SUM(AZ135:CF135)</f>
        <v>713000</v>
      </c>
      <c r="AP135" s="169">
        <f>0.7%+0.04%+0.14%</f>
        <v>0.0088</v>
      </c>
      <c r="AQ135" s="283">
        <f t="shared" ref="AQ135:AQ198" si="20">AR135+AS135+AT135+AU135+AV135+AW135+AX135+AY135</f>
        <v>0</v>
      </c>
      <c r="AR135" s="223"/>
      <c r="AS135" s="223"/>
      <c r="AT135" s="223"/>
      <c r="AU135" s="223"/>
      <c r="AV135" s="223"/>
      <c r="AW135" s="223"/>
      <c r="AX135" s="223"/>
      <c r="AY135" s="223"/>
      <c r="AZ135" s="223"/>
      <c r="BB135" s="223"/>
      <c r="BG135" s="125">
        <v>713000</v>
      </c>
      <c r="CI135" s="125" t="s">
        <v>260</v>
      </c>
      <c r="CJ135" s="125" t="s">
        <v>271</v>
      </c>
      <c r="CK135" s="125" t="s">
        <v>261</v>
      </c>
    </row>
    <row r="136" s="125" customFormat="1" customHeight="1" spans="1:89">
      <c r="A136" s="174">
        <v>100</v>
      </c>
      <c r="C136" s="184">
        <v>45300</v>
      </c>
      <c r="D136" s="125">
        <v>20240000214</v>
      </c>
      <c r="F136" s="1037" t="s">
        <v>3846</v>
      </c>
      <c r="G136" s="125" t="s">
        <v>3847</v>
      </c>
      <c r="H136" s="1037" t="s">
        <v>3848</v>
      </c>
      <c r="I136" s="125" t="s">
        <v>3849</v>
      </c>
      <c r="J136" s="125">
        <v>115.78</v>
      </c>
      <c r="K136" s="125">
        <v>115.78</v>
      </c>
      <c r="L136" s="125">
        <v>5397.23</v>
      </c>
      <c r="M136" s="282">
        <v>625000</v>
      </c>
      <c r="N136" s="223">
        <v>5342</v>
      </c>
      <c r="O136" s="165">
        <v>573394.5</v>
      </c>
      <c r="P136" s="1038" t="s">
        <v>3850</v>
      </c>
      <c r="Q136" s="210">
        <v>45827</v>
      </c>
      <c r="R136" s="223"/>
      <c r="S136" s="224"/>
      <c r="T136" s="1038" t="s">
        <v>3851</v>
      </c>
      <c r="U136" s="224" t="s">
        <v>267</v>
      </c>
      <c r="V136" s="223">
        <v>2000</v>
      </c>
      <c r="W136" s="224" t="s">
        <v>597</v>
      </c>
      <c r="X136" s="223">
        <v>18000</v>
      </c>
      <c r="Y136" s="210" t="s">
        <v>514</v>
      </c>
      <c r="Z136" s="223">
        <v>605000</v>
      </c>
      <c r="AA136" s="224" t="s">
        <v>624</v>
      </c>
      <c r="AB136" s="223"/>
      <c r="AH136" s="223">
        <f t="shared" si="18"/>
        <v>625000</v>
      </c>
      <c r="AK136" s="171">
        <f t="shared" ref="AK136:AK140" si="21">M136-AH136</f>
        <v>0</v>
      </c>
      <c r="AL136" s="125">
        <v>17699963907</v>
      </c>
      <c r="AM136" s="175"/>
      <c r="AO136" s="125">
        <f t="shared" si="19"/>
        <v>625000</v>
      </c>
      <c r="AP136" s="169">
        <f>0.7%+0.08%</f>
        <v>0.0078</v>
      </c>
      <c r="AQ136" s="283">
        <f t="shared" si="20"/>
        <v>0</v>
      </c>
      <c r="AR136" s="223"/>
      <c r="AS136" s="223"/>
      <c r="AT136" s="223"/>
      <c r="AU136" s="223"/>
      <c r="AV136" s="223"/>
      <c r="AW136" s="223"/>
      <c r="AX136" s="223"/>
      <c r="AY136" s="223"/>
      <c r="AZ136" s="223"/>
      <c r="BB136" s="223"/>
      <c r="BE136" s="125">
        <v>625000</v>
      </c>
      <c r="CI136" s="125" t="s">
        <v>260</v>
      </c>
      <c r="CJ136" s="125" t="s">
        <v>271</v>
      </c>
      <c r="CK136" s="125" t="s">
        <v>261</v>
      </c>
    </row>
    <row r="137" s="125" customFormat="1" customHeight="1" spans="1:89">
      <c r="A137" s="174">
        <v>101</v>
      </c>
      <c r="C137" s="184">
        <v>45309</v>
      </c>
      <c r="D137" s="125">
        <v>20240000427</v>
      </c>
      <c r="F137" s="1037" t="s">
        <v>3852</v>
      </c>
      <c r="G137" s="125" t="s">
        <v>3853</v>
      </c>
      <c r="H137" s="1037" t="s">
        <v>3854</v>
      </c>
      <c r="I137" s="125" t="s">
        <v>3855</v>
      </c>
      <c r="J137" s="125">
        <v>86.14</v>
      </c>
      <c r="K137" s="125">
        <v>86.14</v>
      </c>
      <c r="L137" s="125">
        <f>M137/K137</f>
        <v>5481.99442767588</v>
      </c>
      <c r="M137" s="282">
        <v>472219</v>
      </c>
      <c r="N137" s="223">
        <v>5372</v>
      </c>
      <c r="O137" s="165">
        <v>433228.44</v>
      </c>
      <c r="P137" s="1038" t="s">
        <v>3856</v>
      </c>
      <c r="Q137" s="210">
        <v>45827</v>
      </c>
      <c r="R137" s="223"/>
      <c r="S137" s="224"/>
      <c r="T137" s="1038" t="s">
        <v>3857</v>
      </c>
      <c r="U137" s="224" t="s">
        <v>370</v>
      </c>
      <c r="V137" s="223">
        <v>2000</v>
      </c>
      <c r="W137" s="224" t="s">
        <v>306</v>
      </c>
      <c r="X137" s="223">
        <v>18000</v>
      </c>
      <c r="Y137" s="224" t="s">
        <v>566</v>
      </c>
      <c r="Z137" s="125">
        <f>55219+20000</f>
        <v>75219</v>
      </c>
      <c r="AA137" s="171" t="s">
        <v>1539</v>
      </c>
      <c r="AB137" s="223">
        <v>377000</v>
      </c>
      <c r="AC137" s="224" t="s">
        <v>3809</v>
      </c>
      <c r="AH137" s="223">
        <f t="shared" si="18"/>
        <v>472219</v>
      </c>
      <c r="AK137" s="171">
        <f t="shared" si="21"/>
        <v>0</v>
      </c>
      <c r="AL137" s="125">
        <v>15739844740</v>
      </c>
      <c r="AM137" s="175"/>
      <c r="AO137" s="125">
        <f t="shared" si="19"/>
        <v>472219</v>
      </c>
      <c r="AP137" s="169">
        <f>0.4%+0.03%+0.08%</f>
        <v>0.0051</v>
      </c>
      <c r="AQ137" s="283">
        <f t="shared" si="20"/>
        <v>0</v>
      </c>
      <c r="AR137" s="223"/>
      <c r="AS137" s="223"/>
      <c r="AT137" s="223"/>
      <c r="AU137" s="223"/>
      <c r="AV137" s="223"/>
      <c r="AW137" s="223"/>
      <c r="AX137" s="223"/>
      <c r="AY137" s="223"/>
      <c r="AZ137" s="223"/>
      <c r="BB137" s="223"/>
      <c r="BE137" s="125">
        <v>95219</v>
      </c>
      <c r="BG137" s="125">
        <v>377000</v>
      </c>
      <c r="CI137" s="125" t="s">
        <v>260</v>
      </c>
      <c r="CJ137" s="125" t="s">
        <v>271</v>
      </c>
      <c r="CK137" s="125" t="s">
        <v>261</v>
      </c>
    </row>
    <row r="138" s="125" customFormat="1" customHeight="1" spans="1:89">
      <c r="A138" s="174">
        <v>102</v>
      </c>
      <c r="C138" s="184">
        <v>45354</v>
      </c>
      <c r="D138" s="125">
        <v>20240001117</v>
      </c>
      <c r="F138" s="1037" t="s">
        <v>3858</v>
      </c>
      <c r="G138" s="175" t="s">
        <v>3859</v>
      </c>
      <c r="H138" s="1037" t="s">
        <v>3860</v>
      </c>
      <c r="I138" s="125" t="s">
        <v>3861</v>
      </c>
      <c r="J138" s="125">
        <v>132.34</v>
      </c>
      <c r="K138" s="125">
        <v>132.34</v>
      </c>
      <c r="L138" s="125">
        <v>5440.5</v>
      </c>
      <c r="M138" s="282">
        <v>720000</v>
      </c>
      <c r="N138" s="223">
        <v>5352</v>
      </c>
      <c r="O138" s="165">
        <v>660550.46</v>
      </c>
      <c r="P138" s="1038" t="s">
        <v>3862</v>
      </c>
      <c r="Q138" s="210">
        <v>45827</v>
      </c>
      <c r="R138" s="223"/>
      <c r="S138" s="224"/>
      <c r="T138" s="175" t="s">
        <v>3863</v>
      </c>
      <c r="U138" s="224" t="s">
        <v>267</v>
      </c>
      <c r="V138" s="223">
        <f>2000-2000</f>
        <v>0</v>
      </c>
      <c r="W138" s="224" t="s">
        <v>3864</v>
      </c>
      <c r="X138" s="223">
        <v>20000</v>
      </c>
      <c r="Y138" s="224" t="s">
        <v>3865</v>
      </c>
      <c r="Z138" s="223">
        <v>94000</v>
      </c>
      <c r="AA138" s="224" t="s">
        <v>365</v>
      </c>
      <c r="AB138" s="223">
        <v>30000</v>
      </c>
      <c r="AC138" s="125" t="s">
        <v>3866</v>
      </c>
      <c r="AD138" s="223">
        <v>576000</v>
      </c>
      <c r="AE138" s="224" t="s">
        <v>296</v>
      </c>
      <c r="AH138" s="223">
        <f t="shared" si="18"/>
        <v>720000</v>
      </c>
      <c r="AK138" s="171">
        <f t="shared" si="21"/>
        <v>0</v>
      </c>
      <c r="AL138" s="125">
        <v>17386245330</v>
      </c>
      <c r="AM138" s="175"/>
      <c r="AO138" s="125">
        <f t="shared" si="19"/>
        <v>720000</v>
      </c>
      <c r="AP138" s="169">
        <f>0.5%+0.14%</f>
        <v>0.0064</v>
      </c>
      <c r="AQ138" s="283">
        <f t="shared" si="20"/>
        <v>0</v>
      </c>
      <c r="AR138" s="223"/>
      <c r="AS138" s="223"/>
      <c r="AT138" s="223"/>
      <c r="AU138" s="223"/>
      <c r="AV138" s="223"/>
      <c r="AW138" s="223"/>
      <c r="AX138" s="223"/>
      <c r="AY138" s="223"/>
      <c r="AZ138" s="223"/>
      <c r="BB138" s="223"/>
      <c r="BG138" s="125">
        <v>144000</v>
      </c>
      <c r="BH138" s="125">
        <v>576000</v>
      </c>
      <c r="CI138" s="125" t="s">
        <v>260</v>
      </c>
      <c r="CJ138" s="125" t="s">
        <v>271</v>
      </c>
      <c r="CK138" s="125" t="s">
        <v>261</v>
      </c>
    </row>
    <row r="139" s="125" customFormat="1" customHeight="1" spans="1:89">
      <c r="A139" s="174">
        <v>103</v>
      </c>
      <c r="C139" s="184">
        <v>45329</v>
      </c>
      <c r="D139" s="125">
        <v>20240000806</v>
      </c>
      <c r="F139" s="1037" t="s">
        <v>3867</v>
      </c>
      <c r="G139" s="125" t="s">
        <v>3868</v>
      </c>
      <c r="H139" s="1037" t="s">
        <v>3869</v>
      </c>
      <c r="I139" s="125" t="s">
        <v>3870</v>
      </c>
      <c r="J139" s="125">
        <v>115.78</v>
      </c>
      <c r="K139" s="125">
        <v>115.78</v>
      </c>
      <c r="L139" s="125">
        <v>5441.35</v>
      </c>
      <c r="M139" s="282">
        <v>630000</v>
      </c>
      <c r="N139" s="223">
        <v>5362</v>
      </c>
      <c r="O139" s="165">
        <v>577981.65</v>
      </c>
      <c r="P139" s="1038" t="s">
        <v>3871</v>
      </c>
      <c r="Q139" s="210">
        <v>45827</v>
      </c>
      <c r="R139" s="223"/>
      <c r="S139" s="224"/>
      <c r="T139" s="174"/>
      <c r="U139" s="224" t="s">
        <v>294</v>
      </c>
      <c r="V139" s="223">
        <v>10000</v>
      </c>
      <c r="W139" s="224" t="s">
        <v>3872</v>
      </c>
      <c r="X139" s="223">
        <v>200000</v>
      </c>
      <c r="Y139" s="210" t="s">
        <v>686</v>
      </c>
      <c r="Z139" s="125">
        <v>270000</v>
      </c>
      <c r="AA139" s="171" t="s">
        <v>324</v>
      </c>
      <c r="AB139" s="223">
        <v>150000</v>
      </c>
      <c r="AC139" s="125" t="s">
        <v>3788</v>
      </c>
      <c r="AH139" s="223">
        <f t="shared" si="18"/>
        <v>630000</v>
      </c>
      <c r="AK139" s="171">
        <f t="shared" si="21"/>
        <v>0</v>
      </c>
      <c r="AL139" s="125">
        <v>13999615045</v>
      </c>
      <c r="AM139" s="175"/>
      <c r="AO139" s="125">
        <f t="shared" si="19"/>
        <v>630000</v>
      </c>
      <c r="AP139" s="169">
        <f>0.7%+0.05%+0.14%</f>
        <v>0.0089</v>
      </c>
      <c r="AQ139" s="283">
        <f t="shared" si="20"/>
        <v>0</v>
      </c>
      <c r="AR139" s="223"/>
      <c r="AS139" s="223"/>
      <c r="AT139" s="223"/>
      <c r="AU139" s="223"/>
      <c r="AV139" s="223"/>
      <c r="AW139" s="223"/>
      <c r="AX139" s="223"/>
      <c r="AY139" s="223"/>
      <c r="AZ139" s="223"/>
      <c r="BB139" s="223"/>
      <c r="BG139" s="125">
        <v>630000</v>
      </c>
      <c r="CI139" s="125" t="s">
        <v>260</v>
      </c>
      <c r="CJ139" s="125" t="s">
        <v>271</v>
      </c>
      <c r="CK139" s="125" t="s">
        <v>261</v>
      </c>
    </row>
    <row r="140" s="125" customFormat="1" customHeight="1" spans="1:89">
      <c r="A140" s="174">
        <v>104</v>
      </c>
      <c r="B140" s="125"/>
      <c r="C140" s="184">
        <v>45717</v>
      </c>
      <c r="D140" s="125">
        <v>20250000967</v>
      </c>
      <c r="F140" s="125" t="s">
        <v>3873</v>
      </c>
      <c r="G140" s="125" t="s">
        <v>3874</v>
      </c>
      <c r="I140" s="125" t="s">
        <v>3875</v>
      </c>
      <c r="J140" s="125">
        <v>86.14</v>
      </c>
      <c r="K140" s="125">
        <v>86.14</v>
      </c>
      <c r="L140" s="125">
        <v>5200</v>
      </c>
      <c r="M140" s="282">
        <v>447928</v>
      </c>
      <c r="N140" s="223">
        <v>5200</v>
      </c>
      <c r="O140" s="165">
        <v>410943.12</v>
      </c>
      <c r="P140" s="1038" t="s">
        <v>3876</v>
      </c>
      <c r="Q140" s="210">
        <v>45828</v>
      </c>
      <c r="R140" s="223"/>
      <c r="S140" s="224"/>
      <c r="T140" s="174"/>
      <c r="U140" s="224"/>
      <c r="V140" s="223">
        <v>928</v>
      </c>
      <c r="W140" s="224" t="s">
        <v>3877</v>
      </c>
      <c r="X140" s="223">
        <v>277000</v>
      </c>
      <c r="Y140" s="224" t="s">
        <v>3878</v>
      </c>
      <c r="Z140" s="223">
        <v>170000</v>
      </c>
      <c r="AA140" s="224" t="s">
        <v>2689</v>
      </c>
      <c r="AB140" s="223"/>
      <c r="AH140" s="223">
        <f t="shared" si="18"/>
        <v>447928</v>
      </c>
      <c r="AK140" s="171">
        <f t="shared" si="21"/>
        <v>0</v>
      </c>
      <c r="AL140" s="125">
        <v>13899059883</v>
      </c>
      <c r="AM140" s="175" t="s">
        <v>3332</v>
      </c>
      <c r="AO140" s="125">
        <f t="shared" si="19"/>
        <v>447928</v>
      </c>
      <c r="AP140" s="169">
        <f>0.7%+0.04%+0.12%+0.03%</f>
        <v>0.0089</v>
      </c>
      <c r="AQ140" s="283">
        <f t="shared" si="20"/>
        <v>0</v>
      </c>
      <c r="AR140" s="223"/>
      <c r="AS140" s="223"/>
      <c r="AT140" s="223"/>
      <c r="AU140" s="223"/>
      <c r="AV140" s="223"/>
      <c r="AW140" s="223"/>
      <c r="AX140" s="223"/>
      <c r="AY140" s="223"/>
      <c r="AZ140" s="223"/>
      <c r="BB140" s="223"/>
      <c r="BS140" s="125">
        <v>277928</v>
      </c>
      <c r="BT140" s="125">
        <v>170000</v>
      </c>
      <c r="CI140" s="125" t="s">
        <v>260</v>
      </c>
      <c r="CK140" s="125" t="s">
        <v>261</v>
      </c>
    </row>
    <row r="141" s="125" customFormat="1" customHeight="1" spans="1:89">
      <c r="A141" s="174">
        <v>105</v>
      </c>
      <c r="C141" s="184">
        <v>45383</v>
      </c>
      <c r="D141" s="125">
        <v>20240001786</v>
      </c>
      <c r="F141" s="1040" t="s">
        <v>3879</v>
      </c>
      <c r="G141" s="175" t="s">
        <v>3880</v>
      </c>
      <c r="H141" s="175"/>
      <c r="I141" s="125" t="s">
        <v>3881</v>
      </c>
      <c r="J141" s="125">
        <v>132.34</v>
      </c>
      <c r="K141" s="125">
        <v>132.34</v>
      </c>
      <c r="L141" s="125">
        <v>5440.53</v>
      </c>
      <c r="M141" s="282">
        <v>720000</v>
      </c>
      <c r="N141" s="223">
        <v>5377</v>
      </c>
      <c r="O141" s="165">
        <v>660550.46</v>
      </c>
      <c r="P141" s="1038" t="s">
        <v>3882</v>
      </c>
      <c r="Q141" s="210">
        <v>45828</v>
      </c>
      <c r="R141" s="223"/>
      <c r="S141" s="224"/>
      <c r="T141" s="174"/>
      <c r="U141" s="224" t="s">
        <v>546</v>
      </c>
      <c r="V141" s="223">
        <v>20000</v>
      </c>
      <c r="W141" s="210" t="s">
        <v>3883</v>
      </c>
      <c r="X141" s="223">
        <f>100000</f>
        <v>100000</v>
      </c>
      <c r="Y141" s="224" t="s">
        <v>554</v>
      </c>
      <c r="Z141" s="125">
        <v>24000</v>
      </c>
      <c r="AA141" s="171" t="s">
        <v>554</v>
      </c>
      <c r="AB141" s="223">
        <v>576000</v>
      </c>
      <c r="AC141" s="125" t="s">
        <v>481</v>
      </c>
      <c r="AH141" s="223">
        <f t="shared" si="18"/>
        <v>720000</v>
      </c>
      <c r="AK141" s="171">
        <f t="shared" ref="AK141:AK146" si="22">M141-AH141</f>
        <v>0</v>
      </c>
      <c r="AM141" s="175"/>
      <c r="AO141" s="125">
        <f t="shared" si="19"/>
        <v>720000</v>
      </c>
      <c r="AP141" s="169">
        <f>0.5%+0.14%</f>
        <v>0.0064</v>
      </c>
      <c r="AQ141" s="283">
        <f t="shared" si="20"/>
        <v>0</v>
      </c>
      <c r="AR141" s="223"/>
      <c r="AS141" s="223"/>
      <c r="AT141" s="223"/>
      <c r="AU141" s="223"/>
      <c r="AV141" s="223"/>
      <c r="AW141" s="223"/>
      <c r="AX141" s="223"/>
      <c r="AY141" s="223"/>
      <c r="AZ141" s="223"/>
      <c r="BB141" s="223"/>
      <c r="BH141" s="125">
        <v>720000</v>
      </c>
      <c r="CI141" s="125" t="s">
        <v>260</v>
      </c>
      <c r="CJ141" s="125" t="s">
        <v>271</v>
      </c>
      <c r="CK141" s="125" t="s">
        <v>261</v>
      </c>
    </row>
    <row r="142" s="125" customFormat="1" customHeight="1" spans="1:89">
      <c r="A142" s="174">
        <v>106</v>
      </c>
      <c r="C142" s="168">
        <v>45349</v>
      </c>
      <c r="D142" s="294" t="s">
        <v>3884</v>
      </c>
      <c r="F142" s="295" t="s">
        <v>3885</v>
      </c>
      <c r="G142" s="174" t="s">
        <v>3886</v>
      </c>
      <c r="H142" s="1038" t="s">
        <v>3887</v>
      </c>
      <c r="I142" s="125" t="s">
        <v>3888</v>
      </c>
      <c r="J142" s="125">
        <v>115.78</v>
      </c>
      <c r="K142" s="125">
        <v>115.78</v>
      </c>
      <c r="L142" s="287">
        <f>M142/K142</f>
        <v>5449.99136292969</v>
      </c>
      <c r="M142" s="282">
        <v>631000</v>
      </c>
      <c r="N142" s="223">
        <v>5372</v>
      </c>
      <c r="O142" s="165">
        <v>578899.08</v>
      </c>
      <c r="P142" s="1038" t="s">
        <v>3889</v>
      </c>
      <c r="Q142" s="210">
        <v>45828</v>
      </c>
      <c r="R142" s="223"/>
      <c r="S142" s="224"/>
      <c r="T142" s="224"/>
      <c r="U142" s="224" t="s">
        <v>277</v>
      </c>
      <c r="V142" s="223">
        <v>20000</v>
      </c>
      <c r="W142" s="224" t="s">
        <v>3845</v>
      </c>
      <c r="X142" s="223">
        <v>181000</v>
      </c>
      <c r="Y142" s="210" t="s">
        <v>3883</v>
      </c>
      <c r="Z142" s="223">
        <v>100000</v>
      </c>
      <c r="AA142" s="224" t="s">
        <v>363</v>
      </c>
      <c r="AB142" s="223">
        <v>330000</v>
      </c>
      <c r="AC142" s="125" t="s">
        <v>527</v>
      </c>
      <c r="AH142" s="223">
        <f t="shared" si="18"/>
        <v>631000</v>
      </c>
      <c r="AK142" s="171">
        <f t="shared" si="22"/>
        <v>0</v>
      </c>
      <c r="AL142" s="295" t="s">
        <v>3890</v>
      </c>
      <c r="AM142" s="175"/>
      <c r="AO142" s="125">
        <f t="shared" si="19"/>
        <v>631000</v>
      </c>
      <c r="AP142" s="169">
        <f>0.6%+0.05%+0.14%</f>
        <v>0.0079</v>
      </c>
      <c r="AQ142" s="283">
        <f t="shared" si="20"/>
        <v>0</v>
      </c>
      <c r="AR142" s="223"/>
      <c r="AS142" s="223"/>
      <c r="AT142" s="223"/>
      <c r="AU142" s="223"/>
      <c r="AV142" s="223"/>
      <c r="AW142" s="223"/>
      <c r="AX142" s="223"/>
      <c r="AY142" s="223"/>
      <c r="AZ142" s="223"/>
      <c r="BB142" s="223"/>
      <c r="BG142" s="125">
        <v>631000</v>
      </c>
      <c r="CI142" s="125" t="s">
        <v>260</v>
      </c>
      <c r="CJ142" s="125" t="s">
        <v>271</v>
      </c>
      <c r="CK142" s="125" t="s">
        <v>261</v>
      </c>
    </row>
    <row r="143" s="101" customFormat="1" customHeight="1" spans="1:89">
      <c r="A143" s="238">
        <v>107</v>
      </c>
      <c r="C143" s="244"/>
      <c r="E143" s="101" t="s">
        <v>3891</v>
      </c>
      <c r="I143" s="101" t="s">
        <v>3892</v>
      </c>
      <c r="J143" s="101">
        <v>86.14</v>
      </c>
      <c r="M143" s="239"/>
      <c r="N143" s="242">
        <v>5402</v>
      </c>
      <c r="O143" s="157"/>
      <c r="P143" s="238"/>
      <c r="Q143" s="241"/>
      <c r="R143" s="242"/>
      <c r="S143" s="243"/>
      <c r="T143" s="238"/>
      <c r="U143" s="224"/>
      <c r="V143" s="242"/>
      <c r="X143" s="242"/>
      <c r="Y143" s="241"/>
      <c r="AA143" s="205"/>
      <c r="AB143" s="242"/>
      <c r="AH143" s="242">
        <f t="shared" si="18"/>
        <v>0</v>
      </c>
      <c r="AK143" s="205"/>
      <c r="AM143" s="244"/>
      <c r="AO143" s="101">
        <f t="shared" si="19"/>
        <v>0</v>
      </c>
      <c r="AP143" s="276"/>
      <c r="AQ143" s="277">
        <f t="shared" si="20"/>
        <v>0</v>
      </c>
      <c r="AR143" s="242"/>
      <c r="AS143" s="242"/>
      <c r="AT143" s="242"/>
      <c r="AU143" s="242"/>
      <c r="AV143" s="242"/>
      <c r="AW143" s="242"/>
      <c r="AX143" s="242"/>
      <c r="AY143" s="242"/>
      <c r="AZ143" s="242"/>
      <c r="BB143" s="242"/>
    </row>
    <row r="144" s="125" customFormat="1" customHeight="1" spans="1:89">
      <c r="A144" s="174">
        <v>108</v>
      </c>
      <c r="B144" s="125"/>
      <c r="C144" s="184">
        <v>45715</v>
      </c>
      <c r="D144" s="125">
        <v>20250000503</v>
      </c>
      <c r="F144" s="1037" t="s">
        <v>3893</v>
      </c>
      <c r="G144" s="175" t="s">
        <v>3894</v>
      </c>
      <c r="H144" s="1037" t="s">
        <v>3895</v>
      </c>
      <c r="I144" s="125" t="s">
        <v>3896</v>
      </c>
      <c r="J144" s="125">
        <v>132.34</v>
      </c>
      <c r="K144" s="125">
        <v>132.34</v>
      </c>
      <c r="L144" s="125">
        <v>5286.66</v>
      </c>
      <c r="M144" s="282">
        <v>699636</v>
      </c>
      <c r="N144" s="223">
        <v>5397</v>
      </c>
      <c r="O144" s="165">
        <v>641867.89</v>
      </c>
      <c r="P144" s="1038" t="s">
        <v>3897</v>
      </c>
      <c r="Q144" s="210">
        <v>45828</v>
      </c>
      <c r="R144" s="223"/>
      <c r="S144" s="224"/>
      <c r="T144" s="174"/>
      <c r="U144" s="224" t="s">
        <v>277</v>
      </c>
      <c r="V144" s="223">
        <v>20000</v>
      </c>
      <c r="W144" s="224" t="s">
        <v>2683</v>
      </c>
      <c r="X144" s="223">
        <v>120636</v>
      </c>
      <c r="Y144" s="224" t="s">
        <v>507</v>
      </c>
      <c r="Z144" s="223">
        <v>559000</v>
      </c>
      <c r="AA144" s="224" t="s">
        <v>3898</v>
      </c>
      <c r="AB144" s="223"/>
      <c r="AH144" s="223">
        <f t="shared" si="18"/>
        <v>699636</v>
      </c>
      <c r="AK144" s="171">
        <f>M144-AH144</f>
        <v>0</v>
      </c>
      <c r="AL144" s="125">
        <v>18709965374</v>
      </c>
      <c r="AM144" s="175" t="s">
        <v>3284</v>
      </c>
      <c r="AO144" s="125">
        <f t="shared" si="19"/>
        <v>699636</v>
      </c>
      <c r="AP144" s="169">
        <f>0.6%+0.04%+0.12%+0.03%</f>
        <v>0.0079</v>
      </c>
      <c r="AQ144" s="283">
        <f t="shared" si="20"/>
        <v>0</v>
      </c>
      <c r="AR144" s="223"/>
      <c r="AS144" s="223"/>
      <c r="AT144" s="223"/>
      <c r="AU144" s="223"/>
      <c r="AV144" s="223"/>
      <c r="AW144" s="223"/>
      <c r="AX144" s="223"/>
      <c r="AY144" s="223"/>
      <c r="AZ144" s="223"/>
      <c r="BB144" s="223"/>
      <c r="BR144" s="125">
        <v>140636</v>
      </c>
      <c r="BS144" s="125">
        <v>559000</v>
      </c>
      <c r="CI144" s="125" t="s">
        <v>260</v>
      </c>
      <c r="CK144" s="125" t="s">
        <v>261</v>
      </c>
    </row>
    <row r="145" s="125" customFormat="1" customHeight="1" spans="1:89">
      <c r="A145" s="174">
        <v>109</v>
      </c>
      <c r="C145" s="184">
        <v>45379</v>
      </c>
      <c r="D145" s="125">
        <v>20240001718</v>
      </c>
      <c r="F145" s="1037" t="s">
        <v>3899</v>
      </c>
      <c r="G145" s="125" t="s">
        <v>3900</v>
      </c>
      <c r="I145" s="125" t="s">
        <v>3901</v>
      </c>
      <c r="J145" s="125">
        <v>115.78</v>
      </c>
      <c r="K145" s="125">
        <v>115.78</v>
      </c>
      <c r="L145" s="125">
        <v>5354.98</v>
      </c>
      <c r="M145" s="282">
        <v>620000</v>
      </c>
      <c r="N145" s="223">
        <v>5354.98</v>
      </c>
      <c r="O145" s="165">
        <v>568807.34</v>
      </c>
      <c r="P145" s="1038" t="s">
        <v>3902</v>
      </c>
      <c r="Q145" s="210">
        <v>45828</v>
      </c>
      <c r="R145" s="223"/>
      <c r="S145" s="224"/>
      <c r="T145" s="174"/>
      <c r="U145" s="224" t="s">
        <v>277</v>
      </c>
      <c r="V145" s="223">
        <v>124000</v>
      </c>
      <c r="W145" s="224" t="s">
        <v>3668</v>
      </c>
      <c r="X145" s="223">
        <v>496000</v>
      </c>
      <c r="Y145" s="224" t="s">
        <v>481</v>
      </c>
      <c r="AA145" s="171"/>
      <c r="AB145" s="223"/>
      <c r="AH145" s="223">
        <f t="shared" si="18"/>
        <v>620000</v>
      </c>
      <c r="AK145" s="171">
        <f t="shared" si="22"/>
        <v>0</v>
      </c>
      <c r="AL145" s="125">
        <v>18690237014</v>
      </c>
      <c r="AM145" s="175"/>
      <c r="AO145" s="125">
        <f t="shared" si="19"/>
        <v>620000</v>
      </c>
      <c r="AP145" s="169">
        <f>0.7%+0.05%+0.12%</f>
        <v>0.0087</v>
      </c>
      <c r="AQ145" s="283">
        <f t="shared" si="20"/>
        <v>0</v>
      </c>
      <c r="AR145" s="223"/>
      <c r="AS145" s="223"/>
      <c r="AT145" s="223"/>
      <c r="AU145" s="223"/>
      <c r="AV145" s="223"/>
      <c r="AW145" s="223"/>
      <c r="AX145" s="223"/>
      <c r="AY145" s="223"/>
      <c r="AZ145" s="223"/>
      <c r="BB145" s="223"/>
      <c r="BG145" s="125">
        <v>124000</v>
      </c>
      <c r="BH145" s="125">
        <v>496000</v>
      </c>
      <c r="CI145" s="125" t="s">
        <v>260</v>
      </c>
      <c r="CJ145" s="125" t="s">
        <v>271</v>
      </c>
      <c r="CK145" s="125" t="s">
        <v>261</v>
      </c>
    </row>
    <row r="146" s="125" customFormat="1" customHeight="1" spans="1:89">
      <c r="A146" s="174">
        <v>110</v>
      </c>
      <c r="C146" s="184">
        <v>46006</v>
      </c>
      <c r="D146" s="125">
        <v>20250006426</v>
      </c>
      <c r="E146" s="125" t="s">
        <v>3903</v>
      </c>
      <c r="F146" s="125" t="s">
        <v>3904</v>
      </c>
      <c r="G146" s="125" t="s">
        <v>3905</v>
      </c>
      <c r="I146" s="125" t="s">
        <v>3906</v>
      </c>
      <c r="J146" s="125">
        <v>86.14</v>
      </c>
      <c r="K146" s="125">
        <v>86.14</v>
      </c>
      <c r="L146" s="125">
        <v>5757.44</v>
      </c>
      <c r="M146" s="282">
        <v>495946</v>
      </c>
      <c r="N146" s="223">
        <v>5412</v>
      </c>
      <c r="O146" s="165">
        <v>454996.33</v>
      </c>
      <c r="P146" s="1038" t="s">
        <v>3907</v>
      </c>
      <c r="Q146" s="210">
        <v>46006</v>
      </c>
      <c r="R146" s="223"/>
      <c r="S146" s="224"/>
      <c r="T146" s="174"/>
      <c r="U146" s="224"/>
      <c r="V146" s="223">
        <v>495946</v>
      </c>
      <c r="W146" s="224" t="s">
        <v>591</v>
      </c>
      <c r="X146" s="223"/>
      <c r="Y146" s="210"/>
      <c r="AA146" s="171"/>
      <c r="AB146" s="223"/>
      <c r="AH146" s="223">
        <f t="shared" si="18"/>
        <v>495946</v>
      </c>
      <c r="AK146" s="171">
        <f t="shared" si="22"/>
        <v>0</v>
      </c>
      <c r="AM146" s="175"/>
      <c r="AO146" s="125">
        <f t="shared" si="19"/>
        <v>0</v>
      </c>
      <c r="AP146" s="169"/>
      <c r="AQ146" s="283">
        <f t="shared" si="20"/>
        <v>0</v>
      </c>
      <c r="AR146" s="223"/>
      <c r="AS146" s="223"/>
      <c r="AT146" s="223"/>
      <c r="AU146" s="223"/>
      <c r="AV146" s="223"/>
      <c r="AW146" s="223"/>
      <c r="AX146" s="223"/>
      <c r="AY146" s="223"/>
      <c r="AZ146" s="223"/>
      <c r="BB146" s="223"/>
      <c r="CI146" s="125" t="s">
        <v>3258</v>
      </c>
      <c r="CK146" s="125" t="s">
        <v>261</v>
      </c>
    </row>
    <row r="147" s="125" customFormat="1" ht="48" customHeight="1" spans="1:89">
      <c r="A147" s="174">
        <v>111</v>
      </c>
      <c r="C147" s="184">
        <v>45455</v>
      </c>
      <c r="D147" s="125">
        <v>20240003437</v>
      </c>
      <c r="F147" s="1037" t="s">
        <v>3908</v>
      </c>
      <c r="G147" s="175" t="s">
        <v>3909</v>
      </c>
      <c r="H147" s="1037" t="s">
        <v>3910</v>
      </c>
      <c r="I147" s="125" t="s">
        <v>3911</v>
      </c>
      <c r="J147" s="125">
        <v>132.34</v>
      </c>
      <c r="K147" s="125">
        <v>132.34</v>
      </c>
      <c r="L147" s="125">
        <v>5138.28</v>
      </c>
      <c r="M147" s="282">
        <v>680000</v>
      </c>
      <c r="N147" s="223">
        <v>5138.28</v>
      </c>
      <c r="O147" s="165">
        <v>623853.21</v>
      </c>
      <c r="P147" s="1038" t="s">
        <v>3912</v>
      </c>
      <c r="Q147" s="210">
        <v>45828</v>
      </c>
      <c r="R147" s="223"/>
      <c r="S147" s="224"/>
      <c r="T147" s="174"/>
      <c r="U147" s="224" t="s">
        <v>294</v>
      </c>
      <c r="V147" s="223">
        <f>7000-7000</f>
        <v>0</v>
      </c>
      <c r="W147" s="224" t="s">
        <v>953</v>
      </c>
      <c r="X147" s="223">
        <v>20000</v>
      </c>
      <c r="Y147" s="224" t="s">
        <v>3675</v>
      </c>
      <c r="Z147" s="125">
        <v>280000</v>
      </c>
      <c r="AA147" s="171" t="s">
        <v>3676</v>
      </c>
      <c r="AB147" s="223">
        <v>380000</v>
      </c>
      <c r="AC147" s="125" t="s">
        <v>967</v>
      </c>
      <c r="AH147" s="223">
        <f t="shared" si="18"/>
        <v>680000</v>
      </c>
      <c r="AK147" s="171">
        <f t="shared" ref="AK147:AK150" si="23">M147-AH147</f>
        <v>0</v>
      </c>
      <c r="AL147" s="125">
        <v>13993510131</v>
      </c>
      <c r="AM147" s="175" t="s">
        <v>3839</v>
      </c>
      <c r="AO147" s="125">
        <f t="shared" si="19"/>
        <v>680000</v>
      </c>
      <c r="AP147" s="169">
        <f>0.7%+0.08%</f>
        <v>0.0078</v>
      </c>
      <c r="AQ147" s="283">
        <f t="shared" si="20"/>
        <v>0</v>
      </c>
      <c r="AR147" s="223"/>
      <c r="AS147" s="223"/>
      <c r="AT147" s="223"/>
      <c r="AU147" s="223"/>
      <c r="AV147" s="223"/>
      <c r="AW147" s="223"/>
      <c r="AX147" s="223"/>
      <c r="AY147" s="223"/>
      <c r="AZ147" s="223"/>
      <c r="BB147" s="223"/>
      <c r="BJ147" s="125">
        <v>680000</v>
      </c>
      <c r="CI147" s="125" t="s">
        <v>260</v>
      </c>
      <c r="CJ147" s="125" t="s">
        <v>271</v>
      </c>
      <c r="CK147" s="125" t="s">
        <v>261</v>
      </c>
    </row>
    <row r="148" s="125" customFormat="1" customHeight="1" spans="1:89">
      <c r="A148" s="174">
        <v>112</v>
      </c>
      <c r="C148" s="184">
        <v>45381</v>
      </c>
      <c r="D148" s="125">
        <v>20240001761</v>
      </c>
      <c r="F148" s="1037" t="s">
        <v>3913</v>
      </c>
      <c r="G148" s="125" t="s">
        <v>3914</v>
      </c>
      <c r="H148" s="1037" t="s">
        <v>3915</v>
      </c>
      <c r="I148" s="125" t="s">
        <v>3916</v>
      </c>
      <c r="J148" s="125">
        <v>115.78</v>
      </c>
      <c r="K148" s="125">
        <v>115.78</v>
      </c>
      <c r="L148" s="125">
        <v>5009.5</v>
      </c>
      <c r="M148" s="282">
        <v>580000</v>
      </c>
      <c r="N148" s="223">
        <v>4978</v>
      </c>
      <c r="O148" s="165">
        <v>532110.09</v>
      </c>
      <c r="P148" s="1038" t="s">
        <v>3917</v>
      </c>
      <c r="Q148" s="210">
        <v>45828</v>
      </c>
      <c r="R148" s="223"/>
      <c r="S148" s="224"/>
      <c r="T148" s="174"/>
      <c r="U148" s="224" t="s">
        <v>656</v>
      </c>
      <c r="V148" s="223">
        <v>20000</v>
      </c>
      <c r="W148" s="224" t="s">
        <v>3866</v>
      </c>
      <c r="X148" s="223">
        <v>380000</v>
      </c>
      <c r="Y148" s="210" t="s">
        <v>295</v>
      </c>
      <c r="Z148" s="223">
        <v>150000</v>
      </c>
      <c r="AA148" s="224" t="s">
        <v>268</v>
      </c>
      <c r="AB148" s="223">
        <v>30000</v>
      </c>
      <c r="AC148" s="125" t="s">
        <v>3689</v>
      </c>
      <c r="AH148" s="223">
        <f t="shared" si="18"/>
        <v>580000</v>
      </c>
      <c r="AK148" s="171">
        <f t="shared" si="23"/>
        <v>0</v>
      </c>
      <c r="AL148" s="125">
        <v>18609965679</v>
      </c>
      <c r="AM148" s="175"/>
      <c r="AO148" s="125">
        <f t="shared" si="19"/>
        <v>580000</v>
      </c>
      <c r="AP148" s="169">
        <f>0.4%+0.03%+0.12%</f>
        <v>0.0055</v>
      </c>
      <c r="AQ148" s="283">
        <f t="shared" si="20"/>
        <v>0</v>
      </c>
      <c r="AR148" s="223"/>
      <c r="AS148" s="223"/>
      <c r="AT148" s="223"/>
      <c r="AU148" s="223"/>
      <c r="AV148" s="223"/>
      <c r="AW148" s="223"/>
      <c r="AX148" s="223"/>
      <c r="AY148" s="223"/>
      <c r="AZ148" s="223"/>
      <c r="BB148" s="223"/>
      <c r="BH148" s="125">
        <v>580000</v>
      </c>
      <c r="CI148" s="125" t="s">
        <v>260</v>
      </c>
      <c r="CJ148" s="125" t="s">
        <v>271</v>
      </c>
      <c r="CK148" s="125" t="s">
        <v>261</v>
      </c>
    </row>
    <row r="149" s="101" customFormat="1" customHeight="1" spans="1:89">
      <c r="A149" s="238">
        <v>113</v>
      </c>
      <c r="C149" s="244"/>
      <c r="E149" s="101" t="s">
        <v>3918</v>
      </c>
      <c r="I149" s="101" t="s">
        <v>3919</v>
      </c>
      <c r="J149" s="101">
        <v>86.14</v>
      </c>
      <c r="M149" s="239"/>
      <c r="N149" s="242">
        <v>5008</v>
      </c>
      <c r="O149" s="157"/>
      <c r="P149" s="238"/>
      <c r="Q149" s="241"/>
      <c r="R149" s="242"/>
      <c r="S149" s="243"/>
      <c r="T149" s="238"/>
      <c r="U149" s="224"/>
      <c r="V149" s="242"/>
      <c r="X149" s="242"/>
      <c r="Y149" s="241"/>
      <c r="AA149" s="205"/>
      <c r="AB149" s="242"/>
      <c r="AH149" s="242">
        <f t="shared" si="18"/>
        <v>0</v>
      </c>
      <c r="AK149" s="205"/>
      <c r="AM149" s="244"/>
      <c r="AO149" s="101">
        <f t="shared" si="19"/>
        <v>0</v>
      </c>
      <c r="AP149" s="276"/>
      <c r="AQ149" s="277">
        <f t="shared" si="20"/>
        <v>0</v>
      </c>
      <c r="AR149" s="242"/>
      <c r="AS149" s="242"/>
      <c r="AT149" s="242"/>
      <c r="AU149" s="242"/>
      <c r="AV149" s="242"/>
      <c r="AW149" s="242"/>
      <c r="AX149" s="242"/>
      <c r="AY149" s="242"/>
      <c r="AZ149" s="242"/>
      <c r="BB149" s="242"/>
    </row>
    <row r="150" s="125" customFormat="1" customHeight="1" spans="1:89">
      <c r="A150" s="174">
        <v>114</v>
      </c>
      <c r="C150" s="184">
        <v>45414</v>
      </c>
      <c r="D150" s="125">
        <v>20240002494</v>
      </c>
      <c r="F150" s="1037" t="s">
        <v>3920</v>
      </c>
      <c r="G150" s="125" t="s">
        <v>3921</v>
      </c>
      <c r="H150" s="1037" t="s">
        <v>3922</v>
      </c>
      <c r="I150" s="125" t="s">
        <v>3923</v>
      </c>
      <c r="J150" s="125">
        <v>132.34</v>
      </c>
      <c r="K150" s="125">
        <v>132.34</v>
      </c>
      <c r="L150" s="125">
        <v>5088</v>
      </c>
      <c r="M150" s="282">
        <v>673348</v>
      </c>
      <c r="N150" s="223">
        <v>4988</v>
      </c>
      <c r="O150" s="165">
        <v>617750.46</v>
      </c>
      <c r="P150" s="1038" t="s">
        <v>3924</v>
      </c>
      <c r="Q150" s="210">
        <v>45828</v>
      </c>
      <c r="R150" s="223"/>
      <c r="S150" s="224"/>
      <c r="T150" s="174"/>
      <c r="U150" s="224" t="s">
        <v>561</v>
      </c>
      <c r="V150" s="223">
        <v>20000</v>
      </c>
      <c r="W150" s="224" t="s">
        <v>481</v>
      </c>
      <c r="X150" s="223">
        <v>115348</v>
      </c>
      <c r="Y150" s="224" t="s">
        <v>3745</v>
      </c>
      <c r="Z150" s="223">
        <v>538000</v>
      </c>
      <c r="AA150" s="224" t="s">
        <v>3925</v>
      </c>
      <c r="AB150" s="223"/>
      <c r="AH150" s="223">
        <f t="shared" si="18"/>
        <v>673348</v>
      </c>
      <c r="AK150" s="171">
        <f t="shared" si="23"/>
        <v>0</v>
      </c>
      <c r="AL150" s="125">
        <v>19609961341</v>
      </c>
      <c r="AM150" s="175"/>
      <c r="AO150" s="125">
        <f t="shared" si="19"/>
        <v>673348</v>
      </c>
      <c r="AP150" s="169">
        <f>0.7%+0.05%+0.12%</f>
        <v>0.0087</v>
      </c>
      <c r="AQ150" s="283">
        <f t="shared" si="20"/>
        <v>0</v>
      </c>
      <c r="AR150" s="223"/>
      <c r="AS150" s="223"/>
      <c r="AT150" s="223"/>
      <c r="AU150" s="223"/>
      <c r="AV150" s="223"/>
      <c r="AW150" s="223"/>
      <c r="AX150" s="223"/>
      <c r="AY150" s="223"/>
      <c r="AZ150" s="223"/>
      <c r="BB150" s="223"/>
      <c r="BI150" s="125">
        <v>135348</v>
      </c>
      <c r="BJ150" s="125">
        <v>538000</v>
      </c>
      <c r="CI150" s="125" t="s">
        <v>260</v>
      </c>
      <c r="CJ150" s="125" t="s">
        <v>271</v>
      </c>
      <c r="CK150" s="125" t="s">
        <v>261</v>
      </c>
    </row>
    <row r="151" s="101" customFormat="1" customHeight="1" spans="1:89">
      <c r="A151" s="238"/>
      <c r="C151" s="244"/>
      <c r="H151" s="296" t="s">
        <v>3926</v>
      </c>
      <c r="I151" s="101" t="s">
        <v>3927</v>
      </c>
      <c r="J151" s="296">
        <v>157.69</v>
      </c>
      <c r="M151" s="239"/>
      <c r="N151" s="242"/>
      <c r="O151" s="157"/>
      <c r="P151" s="238"/>
      <c r="Q151" s="241"/>
      <c r="R151" s="242"/>
      <c r="S151" s="243"/>
      <c r="T151" s="238"/>
      <c r="U151" s="224"/>
      <c r="V151" s="242"/>
      <c r="X151" s="242"/>
      <c r="Y151" s="241"/>
      <c r="AA151" s="205"/>
      <c r="AB151" s="242"/>
      <c r="AH151" s="242">
        <f t="shared" si="18"/>
        <v>0</v>
      </c>
      <c r="AK151" s="205"/>
      <c r="AM151" s="244"/>
      <c r="AO151" s="101">
        <f t="shared" si="19"/>
        <v>0</v>
      </c>
      <c r="AP151" s="276"/>
      <c r="AQ151" s="277">
        <f t="shared" si="20"/>
        <v>0</v>
      </c>
      <c r="AR151" s="242"/>
      <c r="AS151" s="242"/>
      <c r="AT151" s="242"/>
      <c r="AU151" s="242"/>
      <c r="AV151" s="242"/>
      <c r="AW151" s="242"/>
      <c r="AX151" s="242"/>
      <c r="AY151" s="242"/>
      <c r="AZ151" s="242"/>
      <c r="BB151" s="242"/>
    </row>
    <row r="152" s="101" customFormat="1" customHeight="1" spans="1:89">
      <c r="A152" s="238"/>
      <c r="C152" s="244"/>
      <c r="H152" s="296"/>
      <c r="I152" s="101" t="s">
        <v>3928</v>
      </c>
      <c r="J152" s="296"/>
      <c r="M152" s="239"/>
      <c r="N152" s="242"/>
      <c r="O152" s="157"/>
      <c r="P152" s="238"/>
      <c r="Q152" s="241"/>
      <c r="R152" s="242"/>
      <c r="S152" s="243"/>
      <c r="T152" s="238"/>
      <c r="U152" s="224"/>
      <c r="V152" s="242"/>
      <c r="X152" s="242"/>
      <c r="Y152" s="241"/>
      <c r="AA152" s="205"/>
      <c r="AB152" s="242"/>
      <c r="AH152" s="242">
        <f t="shared" si="18"/>
        <v>0</v>
      </c>
      <c r="AK152" s="205"/>
      <c r="AM152" s="244"/>
      <c r="AO152" s="101">
        <f t="shared" si="19"/>
        <v>0</v>
      </c>
      <c r="AP152" s="276"/>
      <c r="AQ152" s="277">
        <f t="shared" si="20"/>
        <v>0</v>
      </c>
      <c r="AR152" s="242"/>
      <c r="AS152" s="242"/>
      <c r="AT152" s="242"/>
      <c r="AU152" s="242"/>
      <c r="AV152" s="242"/>
      <c r="AW152" s="242"/>
      <c r="AX152" s="242"/>
      <c r="AY152" s="242"/>
      <c r="AZ152" s="242"/>
      <c r="BB152" s="242"/>
    </row>
    <row r="153" s="125" customFormat="1" customHeight="1" spans="1:89">
      <c r="A153" s="174">
        <v>115</v>
      </c>
      <c r="C153" s="184">
        <v>45707</v>
      </c>
      <c r="D153" s="125">
        <v>20250000724</v>
      </c>
      <c r="F153" s="1037" t="s">
        <v>3929</v>
      </c>
      <c r="G153" s="125" t="s">
        <v>3222</v>
      </c>
      <c r="H153" s="1037" t="s">
        <v>3930</v>
      </c>
      <c r="I153" s="125" t="s">
        <v>3931</v>
      </c>
      <c r="J153" s="125">
        <v>146.29</v>
      </c>
      <c r="K153" s="125">
        <v>146.29</v>
      </c>
      <c r="L153" s="125">
        <v>5058.445</v>
      </c>
      <c r="M153" s="282">
        <v>740000</v>
      </c>
      <c r="N153" s="223">
        <v>5018</v>
      </c>
      <c r="O153" s="165">
        <v>678899.08</v>
      </c>
      <c r="P153" s="1038" t="s">
        <v>3932</v>
      </c>
      <c r="Q153" s="210">
        <v>45831</v>
      </c>
      <c r="R153" s="223"/>
      <c r="S153" s="224"/>
      <c r="T153" s="174"/>
      <c r="U153" s="224" t="s">
        <v>277</v>
      </c>
      <c r="V153" s="223">
        <v>10000</v>
      </c>
      <c r="W153" s="224" t="s">
        <v>3933</v>
      </c>
      <c r="X153" s="223">
        <v>60000</v>
      </c>
      <c r="Y153" s="224" t="s">
        <v>3934</v>
      </c>
      <c r="Z153" s="223">
        <v>30000</v>
      </c>
      <c r="AA153" s="224" t="s">
        <v>3331</v>
      </c>
      <c r="AB153" s="223">
        <v>50000</v>
      </c>
      <c r="AC153" s="224" t="s">
        <v>3326</v>
      </c>
      <c r="AD153" s="223">
        <v>590000</v>
      </c>
      <c r="AE153" s="224" t="s">
        <v>3087</v>
      </c>
      <c r="AH153" s="223">
        <f t="shared" si="18"/>
        <v>740000</v>
      </c>
      <c r="AK153" s="171">
        <f>M153-AH153</f>
        <v>0</v>
      </c>
      <c r="AL153" s="125">
        <v>13779339862</v>
      </c>
      <c r="AM153" s="175"/>
      <c r="AO153" s="125">
        <f t="shared" si="19"/>
        <v>740000</v>
      </c>
      <c r="AP153" s="169">
        <f>0.7%+0.05%+0.12%</f>
        <v>0.0087</v>
      </c>
      <c r="AQ153" s="283">
        <f t="shared" si="20"/>
        <v>0</v>
      </c>
      <c r="AR153" s="223"/>
      <c r="AS153" s="223"/>
      <c r="AT153" s="223"/>
      <c r="AU153" s="223"/>
      <c r="AV153" s="223"/>
      <c r="AW153" s="223"/>
      <c r="AX153" s="223"/>
      <c r="AY153" s="223"/>
      <c r="AZ153" s="223"/>
      <c r="BB153" s="223"/>
      <c r="BR153" s="125">
        <v>150000</v>
      </c>
      <c r="BS153" s="125">
        <v>590000</v>
      </c>
      <c r="CI153" s="125" t="s">
        <v>260</v>
      </c>
      <c r="CK153" s="125" t="s">
        <v>261</v>
      </c>
    </row>
    <row r="154" s="125" customFormat="1" customHeight="1" spans="1:89">
      <c r="A154" s="174">
        <v>116</v>
      </c>
      <c r="C154" s="184">
        <v>45532</v>
      </c>
      <c r="D154" s="125">
        <v>20240004924</v>
      </c>
      <c r="F154" s="1037" t="s">
        <v>3935</v>
      </c>
      <c r="G154" s="125" t="s">
        <v>3936</v>
      </c>
      <c r="H154" s="1037" t="s">
        <v>3937</v>
      </c>
      <c r="I154" s="125" t="s">
        <v>3938</v>
      </c>
      <c r="J154" s="125">
        <v>153.46</v>
      </c>
      <c r="K154" s="125">
        <v>153.46</v>
      </c>
      <c r="L154" s="125">
        <v>4887.27</v>
      </c>
      <c r="M154" s="282">
        <v>750000</v>
      </c>
      <c r="N154" s="223">
        <v>4887.27</v>
      </c>
      <c r="O154" s="165">
        <v>688073.39</v>
      </c>
      <c r="P154" s="1038" t="s">
        <v>3939</v>
      </c>
      <c r="Q154" s="210">
        <v>45831</v>
      </c>
      <c r="R154" s="223"/>
      <c r="S154" s="224"/>
      <c r="T154" s="174"/>
      <c r="U154" s="224" t="s">
        <v>370</v>
      </c>
      <c r="V154" s="223">
        <v>20000</v>
      </c>
      <c r="W154" s="224" t="s">
        <v>717</v>
      </c>
      <c r="X154" s="223">
        <v>130000</v>
      </c>
      <c r="Y154" s="210" t="s">
        <v>1118</v>
      </c>
      <c r="Z154" s="223">
        <v>600000</v>
      </c>
      <c r="AA154" s="224" t="s">
        <v>3940</v>
      </c>
      <c r="AB154" s="223"/>
      <c r="AH154" s="223">
        <f t="shared" si="18"/>
        <v>750000</v>
      </c>
      <c r="AK154" s="171">
        <f>M154-AH154</f>
        <v>0</v>
      </c>
      <c r="AL154" s="125">
        <v>19109969555</v>
      </c>
      <c r="AM154" s="175"/>
      <c r="AO154" s="125">
        <f t="shared" si="19"/>
        <v>750000</v>
      </c>
      <c r="AP154" s="169">
        <f>0.4%+0.02%+0.08%</f>
        <v>0.005</v>
      </c>
      <c r="AQ154" s="283">
        <f t="shared" si="20"/>
        <v>0</v>
      </c>
      <c r="AR154" s="223"/>
      <c r="AS154" s="223"/>
      <c r="AT154" s="223"/>
      <c r="AU154" s="223"/>
      <c r="AV154" s="223"/>
      <c r="AW154" s="223"/>
      <c r="AX154" s="223"/>
      <c r="AY154" s="223"/>
      <c r="AZ154" s="223"/>
      <c r="BB154" s="223"/>
      <c r="BL154" s="125">
        <v>150000</v>
      </c>
      <c r="BN154" s="125">
        <v>600000</v>
      </c>
      <c r="CI154" s="125" t="s">
        <v>260</v>
      </c>
      <c r="CK154" s="125" t="s">
        <v>261</v>
      </c>
    </row>
    <row r="155" s="125" customFormat="1" customHeight="1" spans="1:89">
      <c r="A155" s="174">
        <v>117</v>
      </c>
      <c r="C155" s="184">
        <v>45499</v>
      </c>
      <c r="D155" s="125">
        <v>20240004266</v>
      </c>
      <c r="E155" s="125" t="s">
        <v>3941</v>
      </c>
      <c r="F155" s="1037" t="s">
        <v>3942</v>
      </c>
      <c r="G155" s="125" t="s">
        <v>3943</v>
      </c>
      <c r="I155" s="125" t="s">
        <v>3944</v>
      </c>
      <c r="J155" s="125">
        <v>86.14</v>
      </c>
      <c r="K155" s="125">
        <v>86.14</v>
      </c>
      <c r="L155" s="125">
        <f>M155/K155</f>
        <v>4643.60343626654</v>
      </c>
      <c r="M155" s="282">
        <v>400000</v>
      </c>
      <c r="N155" s="223">
        <v>4965</v>
      </c>
      <c r="O155" s="165">
        <v>366972.48</v>
      </c>
      <c r="P155" s="1038" t="s">
        <v>3945</v>
      </c>
      <c r="Q155" s="210">
        <v>45831</v>
      </c>
      <c r="R155" s="223"/>
      <c r="S155" s="224"/>
      <c r="T155" s="174"/>
      <c r="U155" s="224"/>
      <c r="V155" s="223">
        <v>200000</v>
      </c>
      <c r="W155" s="224" t="s">
        <v>483</v>
      </c>
      <c r="X155" s="223">
        <v>37000</v>
      </c>
      <c r="Y155" s="210" t="s">
        <v>670</v>
      </c>
      <c r="Z155" s="223">
        <v>63000</v>
      </c>
      <c r="AA155" s="224" t="s">
        <v>3946</v>
      </c>
      <c r="AB155" s="223">
        <v>100000</v>
      </c>
      <c r="AC155" s="224" t="s">
        <v>3473</v>
      </c>
      <c r="AH155" s="223">
        <f t="shared" si="18"/>
        <v>400000</v>
      </c>
      <c r="AK155" s="171">
        <f>M155-AH155</f>
        <v>0</v>
      </c>
      <c r="AM155" s="175"/>
      <c r="AO155" s="125">
        <f t="shared" si="19"/>
        <v>0</v>
      </c>
      <c r="AP155" s="169"/>
      <c r="AQ155" s="283">
        <f t="shared" si="20"/>
        <v>0</v>
      </c>
      <c r="AR155" s="223"/>
      <c r="AS155" s="223"/>
      <c r="AT155" s="223"/>
      <c r="AU155" s="223"/>
      <c r="AV155" s="223"/>
      <c r="AW155" s="223"/>
      <c r="AX155" s="223"/>
      <c r="AY155" s="223"/>
      <c r="AZ155" s="223"/>
      <c r="BB155" s="223"/>
      <c r="CI155" s="125" t="s">
        <v>260</v>
      </c>
      <c r="CK155" s="125" t="s">
        <v>261</v>
      </c>
    </row>
    <row r="156" s="125" customFormat="1" customHeight="1" spans="1:89">
      <c r="A156" s="174">
        <v>118</v>
      </c>
      <c r="C156" s="184">
        <v>45419</v>
      </c>
      <c r="D156" s="125">
        <v>20240002660</v>
      </c>
      <c r="F156" s="1037" t="s">
        <v>3947</v>
      </c>
      <c r="G156" s="125" t="s">
        <v>3948</v>
      </c>
      <c r="H156" s="1037" t="s">
        <v>3949</v>
      </c>
      <c r="I156" s="125" t="s">
        <v>3950</v>
      </c>
      <c r="J156" s="125">
        <v>146.29</v>
      </c>
      <c r="K156" s="125">
        <v>146.29</v>
      </c>
      <c r="L156" s="125">
        <v>5092</v>
      </c>
      <c r="M156" s="282">
        <v>745000</v>
      </c>
      <c r="N156" s="223">
        <v>4955</v>
      </c>
      <c r="O156" s="165"/>
      <c r="P156" s="174"/>
      <c r="Q156" s="210"/>
      <c r="R156" s="223"/>
      <c r="S156" s="224"/>
      <c r="T156" s="174"/>
      <c r="U156" s="224" t="s">
        <v>561</v>
      </c>
      <c r="V156" s="223">
        <v>20000</v>
      </c>
      <c r="W156" s="224" t="s">
        <v>3951</v>
      </c>
      <c r="X156" s="223">
        <v>325000</v>
      </c>
      <c r="Y156" s="224" t="s">
        <v>3952</v>
      </c>
      <c r="Z156" s="223">
        <v>400000</v>
      </c>
      <c r="AA156" s="224" t="s">
        <v>2113</v>
      </c>
      <c r="AB156" s="223"/>
      <c r="AH156" s="223">
        <f t="shared" si="18"/>
        <v>745000</v>
      </c>
      <c r="AK156" s="171">
        <f>M156-AH156</f>
        <v>0</v>
      </c>
      <c r="AL156" s="125">
        <v>13699332517</v>
      </c>
      <c r="AM156" s="175"/>
      <c r="AO156" s="125">
        <f t="shared" si="19"/>
        <v>745000</v>
      </c>
      <c r="AP156" s="169">
        <f>0.7%+0.05%+0.12%</f>
        <v>0.0087</v>
      </c>
      <c r="AQ156" s="283">
        <f t="shared" si="20"/>
        <v>0</v>
      </c>
      <c r="AR156" s="223"/>
      <c r="AS156" s="223"/>
      <c r="AT156" s="223"/>
      <c r="AU156" s="223"/>
      <c r="AV156" s="223"/>
      <c r="AW156" s="223"/>
      <c r="AX156" s="223"/>
      <c r="AY156" s="223"/>
      <c r="AZ156" s="223"/>
      <c r="BB156" s="223"/>
      <c r="BI156" s="125">
        <v>345000</v>
      </c>
      <c r="BU156" s="125">
        <v>400000</v>
      </c>
      <c r="CI156" s="125" t="s">
        <v>260</v>
      </c>
      <c r="CJ156" s="125" t="s">
        <v>271</v>
      </c>
      <c r="CK156" s="125" t="s">
        <v>261</v>
      </c>
    </row>
    <row r="157" s="125" customFormat="1" customHeight="1" spans="1:89">
      <c r="A157" s="174">
        <v>119</v>
      </c>
      <c r="C157" s="184">
        <v>45356</v>
      </c>
      <c r="D157" s="125">
        <v>20240001155</v>
      </c>
      <c r="F157" s="125" t="s">
        <v>3953</v>
      </c>
      <c r="G157" s="125" t="s">
        <v>3954</v>
      </c>
      <c r="H157" s="1037" t="s">
        <v>3955</v>
      </c>
      <c r="I157" s="125" t="s">
        <v>3956</v>
      </c>
      <c r="J157" s="125">
        <v>153.46</v>
      </c>
      <c r="K157" s="125">
        <v>153.46</v>
      </c>
      <c r="L157" s="125">
        <v>5017.59</v>
      </c>
      <c r="M157" s="282">
        <v>770000</v>
      </c>
      <c r="N157" s="223">
        <v>4988</v>
      </c>
      <c r="O157" s="165">
        <v>706422.02</v>
      </c>
      <c r="P157" s="1038" t="s">
        <v>3957</v>
      </c>
      <c r="Q157" s="210">
        <v>45980</v>
      </c>
      <c r="R157" s="223"/>
      <c r="S157" s="224"/>
      <c r="T157" s="174"/>
      <c r="U157" s="224" t="s">
        <v>294</v>
      </c>
      <c r="V157" s="223">
        <v>10000</v>
      </c>
      <c r="W157" s="224" t="s">
        <v>363</v>
      </c>
      <c r="X157" s="223">
        <v>200000</v>
      </c>
      <c r="Y157" s="210" t="s">
        <v>363</v>
      </c>
      <c r="Z157" s="125">
        <v>560000</v>
      </c>
      <c r="AA157" s="171" t="s">
        <v>3702</v>
      </c>
      <c r="AB157" s="223"/>
      <c r="AH157" s="223">
        <f t="shared" si="18"/>
        <v>770000</v>
      </c>
      <c r="AK157" s="171">
        <f>M157-AH157</f>
        <v>0</v>
      </c>
      <c r="AL157" s="125">
        <v>15739828181</v>
      </c>
      <c r="AM157" s="175"/>
      <c r="AO157" s="125">
        <f t="shared" si="19"/>
        <v>770000</v>
      </c>
      <c r="AP157" s="169">
        <f>0.7%+0.05%+0.14%</f>
        <v>0.0089</v>
      </c>
      <c r="AQ157" s="283">
        <f t="shared" si="20"/>
        <v>0</v>
      </c>
      <c r="AR157" s="223"/>
      <c r="AS157" s="223"/>
      <c r="AT157" s="223"/>
      <c r="AU157" s="223"/>
      <c r="AV157" s="223"/>
      <c r="AW157" s="223"/>
      <c r="AX157" s="223"/>
      <c r="AY157" s="223"/>
      <c r="AZ157" s="223"/>
      <c r="BB157" s="223"/>
      <c r="BG157" s="125">
        <v>770000</v>
      </c>
      <c r="CI157" s="125" t="s">
        <v>260</v>
      </c>
      <c r="CJ157" s="125" t="s">
        <v>271</v>
      </c>
      <c r="CK157" s="125" t="s">
        <v>261</v>
      </c>
    </row>
    <row r="158" s="125" customFormat="1" ht="36" customHeight="1" spans="1:89">
      <c r="A158" s="174">
        <v>120</v>
      </c>
      <c r="C158" s="184">
        <v>45465</v>
      </c>
      <c r="D158" s="125">
        <v>20240003572</v>
      </c>
      <c r="F158" s="1037" t="s">
        <v>3958</v>
      </c>
      <c r="G158" s="175" t="s">
        <v>3959</v>
      </c>
      <c r="H158" s="1037" t="s">
        <v>3960</v>
      </c>
      <c r="I158" s="125" t="s">
        <v>3961</v>
      </c>
      <c r="J158" s="125">
        <v>86.14</v>
      </c>
      <c r="K158" s="125">
        <v>86.14</v>
      </c>
      <c r="L158" s="171">
        <f>M158/K158</f>
        <v>4875.78360807987</v>
      </c>
      <c r="M158" s="282">
        <v>420000</v>
      </c>
      <c r="N158" s="223">
        <v>4875.78</v>
      </c>
      <c r="O158" s="165">
        <v>385321.1</v>
      </c>
      <c r="P158" s="1038" t="s">
        <v>3962</v>
      </c>
      <c r="Q158" s="210">
        <v>45831</v>
      </c>
      <c r="R158" s="223"/>
      <c r="S158" s="224"/>
      <c r="T158" s="174"/>
      <c r="U158" s="224" t="s">
        <v>408</v>
      </c>
      <c r="V158" s="223">
        <v>20000</v>
      </c>
      <c r="W158" s="224" t="s">
        <v>3325</v>
      </c>
      <c r="X158" s="223">
        <v>64000</v>
      </c>
      <c r="Y158" s="210" t="s">
        <v>3934</v>
      </c>
      <c r="Z158" s="223">
        <v>336000</v>
      </c>
      <c r="AA158" s="224" t="s">
        <v>3946</v>
      </c>
      <c r="AB158" s="223"/>
      <c r="AH158" s="223">
        <f t="shared" si="18"/>
        <v>420000</v>
      </c>
      <c r="AK158" s="171">
        <f t="shared" ref="AK158:AK162" si="24">M158-AH158</f>
        <v>0</v>
      </c>
      <c r="AL158" s="125">
        <v>15999164022</v>
      </c>
      <c r="AM158" s="175" t="s">
        <v>3839</v>
      </c>
      <c r="AO158" s="125">
        <f t="shared" si="19"/>
        <v>420000</v>
      </c>
      <c r="AP158" s="169">
        <f>0.4%+0.02%+0.08%</f>
        <v>0.005</v>
      </c>
      <c r="AQ158" s="283">
        <f t="shared" si="20"/>
        <v>0</v>
      </c>
      <c r="AR158" s="223"/>
      <c r="AS158" s="223"/>
      <c r="AT158" s="223"/>
      <c r="AU158" s="223"/>
      <c r="AV158" s="223"/>
      <c r="AW158" s="223"/>
      <c r="AX158" s="223"/>
      <c r="AY158" s="223"/>
      <c r="AZ158" s="223"/>
      <c r="BB158" s="223"/>
      <c r="BJ158" s="125">
        <v>84000</v>
      </c>
      <c r="BL158" s="125">
        <v>336000</v>
      </c>
      <c r="CI158" s="125" t="s">
        <v>260</v>
      </c>
      <c r="CJ158" s="125" t="s">
        <v>271</v>
      </c>
      <c r="CK158" s="125" t="s">
        <v>261</v>
      </c>
    </row>
    <row r="159" s="125" customFormat="1" customHeight="1" spans="1:89">
      <c r="A159" s="174">
        <v>121</v>
      </c>
      <c r="C159" s="184">
        <v>45401</v>
      </c>
      <c r="D159" s="125">
        <v>20240002189</v>
      </c>
      <c r="F159" s="1037" t="s">
        <v>3963</v>
      </c>
      <c r="G159" s="125" t="s">
        <v>3964</v>
      </c>
      <c r="I159" s="125" t="s">
        <v>3965</v>
      </c>
      <c r="J159" s="125">
        <v>146.29</v>
      </c>
      <c r="K159" s="125">
        <v>146.29</v>
      </c>
      <c r="L159" s="125">
        <v>5000</v>
      </c>
      <c r="M159" s="282">
        <v>731450</v>
      </c>
      <c r="N159" s="223">
        <v>4998</v>
      </c>
      <c r="O159" s="165">
        <v>671055.05</v>
      </c>
      <c r="P159" s="1038" t="s">
        <v>3966</v>
      </c>
      <c r="Q159" s="210">
        <v>45831</v>
      </c>
      <c r="R159" s="223"/>
      <c r="S159" s="224"/>
      <c r="T159" s="174"/>
      <c r="U159" s="224" t="s">
        <v>294</v>
      </c>
      <c r="V159" s="223">
        <v>20000</v>
      </c>
      <c r="W159" s="224" t="s">
        <v>437</v>
      </c>
      <c r="X159" s="223">
        <v>151450</v>
      </c>
      <c r="Y159" s="224" t="s">
        <v>269</v>
      </c>
      <c r="Z159" s="223">
        <v>560000</v>
      </c>
      <c r="AA159" s="224" t="s">
        <v>3967</v>
      </c>
      <c r="AB159" s="223"/>
      <c r="AH159" s="223">
        <f t="shared" si="18"/>
        <v>731450</v>
      </c>
      <c r="AK159" s="171">
        <f t="shared" si="24"/>
        <v>0</v>
      </c>
      <c r="AL159" s="125">
        <v>18742874110</v>
      </c>
      <c r="AM159" s="175"/>
      <c r="AO159" s="125">
        <f t="shared" si="19"/>
        <v>731450</v>
      </c>
      <c r="AP159" s="169">
        <f>0.7%+0.05%+0.12%</f>
        <v>0.0087</v>
      </c>
      <c r="AQ159" s="283">
        <f t="shared" si="20"/>
        <v>0</v>
      </c>
      <c r="AR159" s="223"/>
      <c r="AS159" s="223"/>
      <c r="AT159" s="223"/>
      <c r="AU159" s="223"/>
      <c r="AV159" s="223"/>
      <c r="AW159" s="223"/>
      <c r="AX159" s="223"/>
      <c r="AY159" s="223"/>
      <c r="AZ159" s="223"/>
      <c r="BB159" s="223"/>
      <c r="BH159" s="125">
        <v>171450</v>
      </c>
      <c r="BK159" s="125">
        <v>560000</v>
      </c>
      <c r="CI159" s="125" t="s">
        <v>260</v>
      </c>
      <c r="CJ159" s="125" t="s">
        <v>271</v>
      </c>
      <c r="CK159" s="125" t="s">
        <v>261</v>
      </c>
    </row>
    <row r="160" s="125" customFormat="1" customHeight="1" spans="1:89">
      <c r="A160" s="174">
        <v>122</v>
      </c>
      <c r="C160" s="184">
        <v>45314</v>
      </c>
      <c r="D160" s="125">
        <v>20240000535</v>
      </c>
      <c r="F160" s="125" t="s">
        <v>3968</v>
      </c>
      <c r="G160" s="125" t="s">
        <v>3969</v>
      </c>
      <c r="H160" s="1037" t="s">
        <v>3970</v>
      </c>
      <c r="I160" s="125" t="s">
        <v>3971</v>
      </c>
      <c r="J160" s="125">
        <v>132.34</v>
      </c>
      <c r="K160" s="125">
        <v>132.34</v>
      </c>
      <c r="L160" s="125">
        <v>5124</v>
      </c>
      <c r="M160" s="282">
        <v>678110</v>
      </c>
      <c r="N160" s="223">
        <v>5024</v>
      </c>
      <c r="O160" s="165">
        <v>622119.27</v>
      </c>
      <c r="P160" s="292" t="s">
        <v>3972</v>
      </c>
      <c r="Q160" s="210">
        <v>45820</v>
      </c>
      <c r="R160" s="223"/>
      <c r="S160" s="224"/>
      <c r="T160" s="1038" t="s">
        <v>3973</v>
      </c>
      <c r="U160" s="224" t="s">
        <v>370</v>
      </c>
      <c r="V160" s="223">
        <v>2000</v>
      </c>
      <c r="W160" s="224" t="s">
        <v>1010</v>
      </c>
      <c r="X160" s="223">
        <v>18000</v>
      </c>
      <c r="Y160" s="224" t="s">
        <v>566</v>
      </c>
      <c r="Z160" s="223">
        <f>21000+37110+60000</f>
        <v>118110</v>
      </c>
      <c r="AA160" s="171" t="s">
        <v>3759</v>
      </c>
      <c r="AB160" s="223">
        <v>540000</v>
      </c>
      <c r="AC160" s="224" t="s">
        <v>526</v>
      </c>
      <c r="AH160" s="223">
        <f t="shared" si="18"/>
        <v>678110</v>
      </c>
      <c r="AK160" s="171">
        <f t="shared" si="24"/>
        <v>0</v>
      </c>
      <c r="AL160" s="125">
        <v>15099220882</v>
      </c>
      <c r="AM160" s="175"/>
      <c r="AO160" s="125">
        <f t="shared" si="19"/>
        <v>678110</v>
      </c>
      <c r="AP160" s="169">
        <f>0.4%+0.03%+0.08%</f>
        <v>0.0051</v>
      </c>
      <c r="AQ160" s="283">
        <f t="shared" si="20"/>
        <v>0</v>
      </c>
      <c r="AR160" s="223"/>
      <c r="AS160" s="223"/>
      <c r="AT160" s="223"/>
      <c r="AU160" s="223"/>
      <c r="AV160" s="223"/>
      <c r="AW160" s="223"/>
      <c r="AX160" s="223"/>
      <c r="AY160" s="223"/>
      <c r="AZ160" s="223"/>
      <c r="BB160" s="223"/>
      <c r="BE160" s="125">
        <v>138110</v>
      </c>
      <c r="BG160" s="125">
        <v>540000</v>
      </c>
      <c r="CI160" s="125" t="s">
        <v>260</v>
      </c>
      <c r="CJ160" s="125" t="s">
        <v>271</v>
      </c>
      <c r="CK160" s="125" t="s">
        <v>261</v>
      </c>
    </row>
    <row r="161" s="125" customFormat="1" customHeight="1" spans="1:92">
      <c r="A161" s="174">
        <v>123</v>
      </c>
      <c r="C161" s="184">
        <v>45377</v>
      </c>
      <c r="D161" s="125">
        <v>20240001643</v>
      </c>
      <c r="F161" s="1037" t="s">
        <v>3974</v>
      </c>
      <c r="G161" s="125" t="s">
        <v>3975</v>
      </c>
      <c r="I161" s="125" t="s">
        <v>3976</v>
      </c>
      <c r="J161" s="125">
        <v>86.14</v>
      </c>
      <c r="K161" s="125">
        <v>86.14</v>
      </c>
      <c r="L161" s="125">
        <f>M161/K161</f>
        <v>5107.9637798932</v>
      </c>
      <c r="M161" s="282">
        <v>440000</v>
      </c>
      <c r="N161" s="223">
        <v>5044</v>
      </c>
      <c r="O161" s="165">
        <v>403669.72</v>
      </c>
      <c r="P161" s="1038" t="s">
        <v>3977</v>
      </c>
      <c r="Q161" s="210">
        <v>45831</v>
      </c>
      <c r="R161" s="223"/>
      <c r="S161" s="224"/>
      <c r="T161" s="174"/>
      <c r="U161" s="224"/>
      <c r="V161" s="223">
        <f>56800-56800</f>
        <v>0</v>
      </c>
      <c r="W161" s="286" t="s">
        <v>295</v>
      </c>
      <c r="X161" s="174">
        <v>28000</v>
      </c>
      <c r="Y161" s="210" t="s">
        <v>3933</v>
      </c>
      <c r="Z161" s="223">
        <v>62000</v>
      </c>
      <c r="AA161" s="224" t="s">
        <v>3978</v>
      </c>
      <c r="AB161" s="223">
        <v>350000</v>
      </c>
      <c r="AC161" s="224" t="s">
        <v>556</v>
      </c>
      <c r="AH161" s="223">
        <f t="shared" si="18"/>
        <v>440000</v>
      </c>
      <c r="AK161" s="171">
        <f t="shared" si="24"/>
        <v>0</v>
      </c>
      <c r="AL161" s="125">
        <v>17399136763</v>
      </c>
      <c r="AM161" s="175"/>
      <c r="AO161" s="125">
        <f t="shared" si="19"/>
        <v>440000</v>
      </c>
      <c r="AP161" s="169">
        <f>0.7%+0.05%+0.12%</f>
        <v>0.0087</v>
      </c>
      <c r="AQ161" s="283">
        <f t="shared" si="20"/>
        <v>0</v>
      </c>
      <c r="AR161" s="223"/>
      <c r="AS161" s="223"/>
      <c r="AT161" s="223"/>
      <c r="AU161" s="223"/>
      <c r="AV161" s="223"/>
      <c r="AW161" s="223"/>
      <c r="AX161" s="223"/>
      <c r="AY161" s="223"/>
      <c r="AZ161" s="223"/>
      <c r="BB161" s="223"/>
      <c r="BH161" s="125">
        <v>90000</v>
      </c>
      <c r="BI161" s="125">
        <v>350000</v>
      </c>
      <c r="CI161" s="125" t="s">
        <v>260</v>
      </c>
      <c r="CJ161" s="125" t="s">
        <v>271</v>
      </c>
      <c r="CK161" s="125" t="s">
        <v>261</v>
      </c>
    </row>
    <row r="162" s="125" customFormat="1" ht="51" customHeight="1" spans="1:92">
      <c r="A162" s="174">
        <v>124</v>
      </c>
      <c r="C162" s="184">
        <v>45314</v>
      </c>
      <c r="D162" s="125">
        <v>20240000533</v>
      </c>
      <c r="F162" s="1037" t="s">
        <v>3979</v>
      </c>
      <c r="G162" s="175" t="s">
        <v>3980</v>
      </c>
      <c r="H162" s="1037" t="s">
        <v>3981</v>
      </c>
      <c r="I162" s="125" t="s">
        <v>3982</v>
      </c>
      <c r="J162" s="125">
        <v>126.97</v>
      </c>
      <c r="K162" s="125">
        <v>126.97</v>
      </c>
      <c r="L162" s="125">
        <v>5158.69</v>
      </c>
      <c r="M162" s="282">
        <v>655000</v>
      </c>
      <c r="N162" s="223">
        <v>5034</v>
      </c>
      <c r="O162" s="165">
        <v>600917.43</v>
      </c>
      <c r="P162" s="1038" t="s">
        <v>3983</v>
      </c>
      <c r="Q162" s="210">
        <v>45831</v>
      </c>
      <c r="R162" s="223"/>
      <c r="S162" s="224"/>
      <c r="T162" s="292" t="s">
        <v>3984</v>
      </c>
      <c r="U162" s="224" t="s">
        <v>3985</v>
      </c>
      <c r="V162" s="223">
        <f>2000-2000</f>
        <v>0</v>
      </c>
      <c r="W162" s="224" t="s">
        <v>306</v>
      </c>
      <c r="X162" s="223">
        <v>20000</v>
      </c>
      <c r="Y162" s="224" t="s">
        <v>1539</v>
      </c>
      <c r="Z162" s="125">
        <v>45000</v>
      </c>
      <c r="AA162" s="171" t="s">
        <v>3759</v>
      </c>
      <c r="AB162" s="223">
        <v>240000</v>
      </c>
      <c r="AC162" s="125" t="s">
        <v>3759</v>
      </c>
      <c r="AD162" s="223">
        <v>350000</v>
      </c>
      <c r="AE162" s="224" t="s">
        <v>911</v>
      </c>
      <c r="AH162" s="223">
        <f t="shared" si="18"/>
        <v>655000</v>
      </c>
      <c r="AK162" s="171">
        <f t="shared" si="24"/>
        <v>0</v>
      </c>
      <c r="AL162" s="125">
        <v>13345457989</v>
      </c>
      <c r="AM162" s="175"/>
      <c r="AO162" s="125">
        <f t="shared" si="19"/>
        <v>655000</v>
      </c>
      <c r="AP162" s="169">
        <f>0.7%+0.04%+0.12%</f>
        <v>0.0086</v>
      </c>
      <c r="AQ162" s="283">
        <f t="shared" si="20"/>
        <v>0</v>
      </c>
      <c r="AR162" s="223"/>
      <c r="AS162" s="223"/>
      <c r="AT162" s="223"/>
      <c r="AU162" s="223"/>
      <c r="AV162" s="223"/>
      <c r="AW162" s="223"/>
      <c r="AX162" s="223"/>
      <c r="AY162" s="223"/>
      <c r="AZ162" s="223"/>
      <c r="BB162" s="223"/>
      <c r="BE162" s="125">
        <v>305000</v>
      </c>
      <c r="BF162" s="125">
        <v>350000</v>
      </c>
      <c r="CI162" s="125" t="s">
        <v>260</v>
      </c>
      <c r="CJ162" s="125" t="s">
        <v>271</v>
      </c>
      <c r="CK162" s="125" t="s">
        <v>261</v>
      </c>
    </row>
    <row r="163" s="125" customFormat="1" customHeight="1" spans="1:92">
      <c r="A163" s="174">
        <v>125</v>
      </c>
      <c r="C163" s="184">
        <v>45293</v>
      </c>
      <c r="D163" s="125">
        <v>20240000015</v>
      </c>
      <c r="F163" s="1037" t="s">
        <v>3986</v>
      </c>
      <c r="G163" s="125" t="s">
        <v>3987</v>
      </c>
      <c r="H163" s="1037" t="s">
        <v>3988</v>
      </c>
      <c r="I163" s="125" t="s">
        <v>3989</v>
      </c>
      <c r="J163" s="125">
        <v>132.34</v>
      </c>
      <c r="K163" s="125">
        <v>132.34</v>
      </c>
      <c r="L163" s="125">
        <v>5175</v>
      </c>
      <c r="M163" s="282">
        <v>684860</v>
      </c>
      <c r="N163" s="223">
        <v>5075</v>
      </c>
      <c r="O163" s="165"/>
      <c r="P163" s="174"/>
      <c r="Q163" s="210"/>
      <c r="R163" s="223"/>
      <c r="S163" s="224"/>
      <c r="T163" s="1038" t="s">
        <v>2359</v>
      </c>
      <c r="U163" s="224" t="s">
        <v>561</v>
      </c>
      <c r="V163" s="223">
        <v>10000</v>
      </c>
      <c r="W163" s="224" t="s">
        <v>472</v>
      </c>
      <c r="X163" s="223">
        <v>340000</v>
      </c>
      <c r="Y163" s="224" t="s">
        <v>585</v>
      </c>
      <c r="AA163" s="171"/>
      <c r="AB163" s="223"/>
      <c r="AH163" s="223">
        <f t="shared" si="18"/>
        <v>350000</v>
      </c>
      <c r="AK163" s="171">
        <f t="shared" ref="AK163:AK168" si="25">M163-AH163</f>
        <v>334860</v>
      </c>
      <c r="AL163" s="125">
        <v>19999465615</v>
      </c>
      <c r="AM163" s="175"/>
      <c r="AO163" s="125">
        <f t="shared" si="19"/>
        <v>0</v>
      </c>
      <c r="AP163" s="169">
        <f>0.4%+0.02%+0.08%</f>
        <v>0.005</v>
      </c>
      <c r="AQ163" s="283">
        <f t="shared" si="20"/>
        <v>0</v>
      </c>
      <c r="AR163" s="223"/>
      <c r="AS163" s="223"/>
      <c r="AT163" s="223"/>
      <c r="AU163" s="223"/>
      <c r="AV163" s="223"/>
      <c r="AW163" s="223"/>
      <c r="AX163" s="223"/>
      <c r="AY163" s="223"/>
      <c r="AZ163" s="223"/>
      <c r="BB163" s="223"/>
      <c r="CI163" s="125" t="s">
        <v>260</v>
      </c>
      <c r="CJ163" s="125" t="s">
        <v>271</v>
      </c>
      <c r="CK163" s="125" t="s">
        <v>261</v>
      </c>
    </row>
    <row r="164" s="125" customFormat="1" customHeight="1" spans="1:92">
      <c r="A164" s="174">
        <v>126</v>
      </c>
      <c r="C164" s="184">
        <v>45341</v>
      </c>
      <c r="D164" s="125">
        <v>20240000869</v>
      </c>
      <c r="F164" s="1037" t="s">
        <v>3990</v>
      </c>
      <c r="G164" s="125" t="s">
        <v>3991</v>
      </c>
      <c r="I164" s="125" t="s">
        <v>3992</v>
      </c>
      <c r="J164" s="125">
        <v>86.14</v>
      </c>
      <c r="K164" s="125">
        <v>86.14</v>
      </c>
      <c r="L164" s="125">
        <v>5205</v>
      </c>
      <c r="M164" s="282">
        <v>448359</v>
      </c>
      <c r="N164" s="223">
        <v>5105</v>
      </c>
      <c r="O164" s="165">
        <v>411338.53</v>
      </c>
      <c r="P164" s="1038" t="s">
        <v>3993</v>
      </c>
      <c r="Q164" s="210">
        <v>45831</v>
      </c>
      <c r="R164" s="223"/>
      <c r="S164" s="224"/>
      <c r="T164" s="1038" t="s">
        <v>3994</v>
      </c>
      <c r="U164" s="224" t="s">
        <v>277</v>
      </c>
      <c r="V164" s="223">
        <v>2000</v>
      </c>
      <c r="W164" s="224" t="s">
        <v>685</v>
      </c>
      <c r="X164" s="223">
        <v>18000</v>
      </c>
      <c r="Y164" s="210" t="s">
        <v>514</v>
      </c>
      <c r="Z164" s="223">
        <v>128359</v>
      </c>
      <c r="AA164" s="224" t="s">
        <v>3735</v>
      </c>
      <c r="AB164" s="223">
        <v>200000</v>
      </c>
      <c r="AC164" s="125" t="s">
        <v>953</v>
      </c>
      <c r="AD164" s="223">
        <v>100000</v>
      </c>
      <c r="AE164" s="224" t="s">
        <v>3995</v>
      </c>
      <c r="AH164" s="223">
        <f t="shared" si="18"/>
        <v>448359</v>
      </c>
      <c r="AK164" s="171">
        <f t="shared" si="25"/>
        <v>0</v>
      </c>
      <c r="AL164" s="125">
        <v>18699679191</v>
      </c>
      <c r="AM164" s="175"/>
      <c r="AO164" s="125">
        <f t="shared" si="19"/>
        <v>448359</v>
      </c>
      <c r="AP164" s="169">
        <f>0.4%+0.02%+0.08%</f>
        <v>0.005</v>
      </c>
      <c r="AQ164" s="283">
        <f t="shared" si="20"/>
        <v>0</v>
      </c>
      <c r="AR164" s="223"/>
      <c r="AS164" s="223"/>
      <c r="AT164" s="223"/>
      <c r="AU164" s="223"/>
      <c r="AV164" s="223"/>
      <c r="AW164" s="223"/>
      <c r="AX164" s="223"/>
      <c r="AY164" s="223"/>
      <c r="AZ164" s="223"/>
      <c r="BB164" s="223"/>
      <c r="BF164" s="125">
        <v>348359</v>
      </c>
      <c r="BG164" s="125">
        <v>100000</v>
      </c>
      <c r="CI164" s="125" t="s">
        <v>260</v>
      </c>
      <c r="CJ164" s="125" t="s">
        <v>271</v>
      </c>
      <c r="CK164" s="125" t="s">
        <v>261</v>
      </c>
    </row>
    <row r="165" s="125" customFormat="1" customHeight="1" spans="1:92">
      <c r="A165" s="174">
        <v>127</v>
      </c>
      <c r="C165" s="184">
        <v>45374</v>
      </c>
      <c r="D165" s="125">
        <v>20240001570</v>
      </c>
      <c r="F165" s="1037" t="s">
        <v>3996</v>
      </c>
      <c r="G165" s="125" t="s">
        <v>3997</v>
      </c>
      <c r="H165" s="1037" t="s">
        <v>3998</v>
      </c>
      <c r="I165" s="125" t="s">
        <v>3999</v>
      </c>
      <c r="J165" s="125">
        <v>126.97</v>
      </c>
      <c r="K165" s="125">
        <v>126.97</v>
      </c>
      <c r="L165" s="125">
        <v>5198</v>
      </c>
      <c r="M165" s="282">
        <v>660000</v>
      </c>
      <c r="N165" s="223">
        <v>5085</v>
      </c>
      <c r="O165" s="165">
        <v>605504.59</v>
      </c>
      <c r="P165" s="1038" t="s">
        <v>4000</v>
      </c>
      <c r="Q165" s="210">
        <v>45831</v>
      </c>
      <c r="R165" s="223"/>
      <c r="S165" s="224"/>
      <c r="T165" s="174"/>
      <c r="U165" s="224" t="s">
        <v>294</v>
      </c>
      <c r="V165" s="223">
        <v>10000</v>
      </c>
      <c r="W165" s="224" t="s">
        <v>4001</v>
      </c>
      <c r="X165" s="223">
        <v>3000</v>
      </c>
      <c r="Y165" s="210" t="s">
        <v>1078</v>
      </c>
      <c r="Z165" s="223">
        <v>147000</v>
      </c>
      <c r="AA165" s="224" t="s">
        <v>668</v>
      </c>
      <c r="AB165" s="223">
        <v>500000</v>
      </c>
      <c r="AC165" s="224" t="s">
        <v>556</v>
      </c>
      <c r="AH165" s="223">
        <f t="shared" si="18"/>
        <v>660000</v>
      </c>
      <c r="AK165" s="171">
        <f t="shared" si="25"/>
        <v>0</v>
      </c>
      <c r="AL165" s="125">
        <v>13399968391</v>
      </c>
      <c r="AM165" s="175"/>
      <c r="AO165" s="125">
        <f t="shared" si="19"/>
        <v>660000</v>
      </c>
      <c r="AP165" s="169">
        <f>0.7%+0.05%+0.12%</f>
        <v>0.0087</v>
      </c>
      <c r="AQ165" s="283">
        <f t="shared" si="20"/>
        <v>0</v>
      </c>
      <c r="AR165" s="223"/>
      <c r="AS165" s="223"/>
      <c r="AT165" s="223"/>
      <c r="AU165" s="223"/>
      <c r="AV165" s="223"/>
      <c r="AW165" s="223"/>
      <c r="AX165" s="223"/>
      <c r="AY165" s="223"/>
      <c r="AZ165" s="223"/>
      <c r="BB165" s="223"/>
      <c r="BH165" s="125">
        <v>160000</v>
      </c>
      <c r="BI165" s="125">
        <v>500000</v>
      </c>
      <c r="CI165" s="125" t="s">
        <v>260</v>
      </c>
      <c r="CJ165" s="125" t="s">
        <v>271</v>
      </c>
      <c r="CK165" s="125" t="s">
        <v>261</v>
      </c>
    </row>
    <row r="166" s="125" customFormat="1" customHeight="1" spans="1:92">
      <c r="A166" s="174">
        <v>128</v>
      </c>
      <c r="C166" s="184">
        <v>45317</v>
      </c>
      <c r="D166" s="125">
        <v>20240000614</v>
      </c>
      <c r="F166" s="1037" t="s">
        <v>4002</v>
      </c>
      <c r="G166" s="125" t="s">
        <v>3629</v>
      </c>
      <c r="H166" s="1037" t="s">
        <v>4003</v>
      </c>
      <c r="I166" s="125" t="s">
        <v>4004</v>
      </c>
      <c r="J166" s="125">
        <v>132.34</v>
      </c>
      <c r="K166" s="125">
        <v>132.34</v>
      </c>
      <c r="L166" s="125">
        <v>5235</v>
      </c>
      <c r="M166" s="282">
        <v>692800</v>
      </c>
      <c r="N166" s="223">
        <v>5135</v>
      </c>
      <c r="O166" s="165">
        <v>635596.33</v>
      </c>
      <c r="P166" s="1038" t="s">
        <v>4005</v>
      </c>
      <c r="Q166" s="210">
        <v>45831</v>
      </c>
      <c r="R166" s="223"/>
      <c r="S166" s="224"/>
      <c r="T166" s="174"/>
      <c r="U166" s="224"/>
      <c r="V166" s="223">
        <v>20000</v>
      </c>
      <c r="W166" s="224" t="s">
        <v>585</v>
      </c>
      <c r="X166" s="223">
        <v>122800</v>
      </c>
      <c r="Y166" s="210" t="s">
        <v>611</v>
      </c>
      <c r="Z166" s="223">
        <v>20000</v>
      </c>
      <c r="AA166" s="224" t="s">
        <v>437</v>
      </c>
      <c r="AB166" s="223">
        <v>530000</v>
      </c>
      <c r="AC166" s="224" t="s">
        <v>268</v>
      </c>
      <c r="AH166" s="223">
        <f t="shared" si="18"/>
        <v>692800</v>
      </c>
      <c r="AK166" s="171">
        <f t="shared" si="25"/>
        <v>0</v>
      </c>
      <c r="AL166" s="125">
        <v>19999761588</v>
      </c>
      <c r="AM166" s="175"/>
      <c r="AO166" s="125">
        <f t="shared" si="19"/>
        <v>692800</v>
      </c>
      <c r="AP166" s="169">
        <f>0.6%+0.12%</f>
        <v>0.0072</v>
      </c>
      <c r="AQ166" s="283">
        <f t="shared" si="20"/>
        <v>0</v>
      </c>
      <c r="AR166" s="223"/>
      <c r="AS166" s="223"/>
      <c r="AT166" s="223"/>
      <c r="AU166" s="223"/>
      <c r="AV166" s="223"/>
      <c r="AW166" s="223"/>
      <c r="AX166" s="223"/>
      <c r="AY166" s="223"/>
      <c r="AZ166" s="223"/>
      <c r="BB166" s="223"/>
      <c r="BE166" s="125">
        <v>142800</v>
      </c>
      <c r="BH166" s="125">
        <v>550000</v>
      </c>
      <c r="CI166" s="125" t="s">
        <v>260</v>
      </c>
      <c r="CJ166" s="125" t="s">
        <v>271</v>
      </c>
      <c r="CK166" s="125" t="s">
        <v>261</v>
      </c>
    </row>
    <row r="167" s="125" customFormat="1" customHeight="1" spans="1:92">
      <c r="A167" s="174">
        <v>129</v>
      </c>
      <c r="C167" s="184">
        <v>45382</v>
      </c>
      <c r="D167" s="125">
        <v>20240001771</v>
      </c>
      <c r="F167" s="1037" t="s">
        <v>4006</v>
      </c>
      <c r="G167" s="125" t="s">
        <v>4007</v>
      </c>
      <c r="I167" s="125" t="s">
        <v>4008</v>
      </c>
      <c r="J167" s="125">
        <v>86.14</v>
      </c>
      <c r="K167" s="125">
        <v>86.14</v>
      </c>
      <c r="L167" s="125">
        <v>5282.099</v>
      </c>
      <c r="M167" s="282">
        <v>455000</v>
      </c>
      <c r="N167" s="223">
        <v>5185</v>
      </c>
      <c r="O167" s="165">
        <v>417431.19</v>
      </c>
      <c r="P167" s="1038" t="s">
        <v>4009</v>
      </c>
      <c r="Q167" s="210">
        <v>45831</v>
      </c>
      <c r="R167" s="223"/>
      <c r="S167" s="224"/>
      <c r="T167" s="174"/>
      <c r="U167" s="224" t="s">
        <v>294</v>
      </c>
      <c r="V167" s="223">
        <v>5000</v>
      </c>
      <c r="W167" s="224" t="s">
        <v>554</v>
      </c>
      <c r="X167" s="223">
        <v>450000</v>
      </c>
      <c r="Y167" s="210" t="s">
        <v>4010</v>
      </c>
      <c r="AA167" s="171"/>
      <c r="AB167" s="223"/>
      <c r="AH167" s="223">
        <f t="shared" si="18"/>
        <v>455000</v>
      </c>
      <c r="AK167" s="171">
        <f t="shared" si="25"/>
        <v>0</v>
      </c>
      <c r="AL167" s="125">
        <v>15099469395</v>
      </c>
      <c r="AM167" s="175"/>
      <c r="AO167" s="125">
        <f t="shared" si="19"/>
        <v>455000</v>
      </c>
      <c r="AP167" s="169">
        <f>0.7%+0.05%+0.12%</f>
        <v>0.0087</v>
      </c>
      <c r="AQ167" s="283">
        <f t="shared" si="20"/>
        <v>0</v>
      </c>
      <c r="AR167" s="223"/>
      <c r="AS167" s="223"/>
      <c r="AT167" s="223"/>
      <c r="AU167" s="223"/>
      <c r="AV167" s="223"/>
      <c r="AW167" s="223"/>
      <c r="AX167" s="223"/>
      <c r="AY167" s="223"/>
      <c r="AZ167" s="223"/>
      <c r="BB167" s="223"/>
      <c r="BH167" s="125">
        <v>455000</v>
      </c>
      <c r="CI167" s="125" t="s">
        <v>260</v>
      </c>
      <c r="CJ167" s="125" t="s">
        <v>271</v>
      </c>
      <c r="CK167" s="125" t="s">
        <v>261</v>
      </c>
    </row>
    <row r="168" s="125" customFormat="1" customHeight="1" spans="1:92">
      <c r="A168" s="174">
        <v>130</v>
      </c>
      <c r="C168" s="184">
        <v>45355</v>
      </c>
      <c r="D168" s="125">
        <v>20240001126</v>
      </c>
      <c r="F168" s="1037" t="s">
        <v>4011</v>
      </c>
      <c r="G168" s="125" t="s">
        <v>4012</v>
      </c>
      <c r="H168" s="1037" t="s">
        <v>4013</v>
      </c>
      <c r="I168" s="125" t="s">
        <v>4014</v>
      </c>
      <c r="J168" s="125">
        <v>126.97</v>
      </c>
      <c r="K168" s="125">
        <v>126.97</v>
      </c>
      <c r="L168" s="125">
        <v>5235</v>
      </c>
      <c r="M168" s="282">
        <v>664688</v>
      </c>
      <c r="N168" s="223">
        <v>5145</v>
      </c>
      <c r="O168" s="165">
        <v>609805.5</v>
      </c>
      <c r="P168" s="1038" t="s">
        <v>4015</v>
      </c>
      <c r="Q168" s="210">
        <v>45831</v>
      </c>
      <c r="R168" s="223"/>
      <c r="S168" s="224"/>
      <c r="T168" s="174"/>
      <c r="U168" s="224" t="s">
        <v>267</v>
      </c>
      <c r="V168" s="223">
        <v>20000</v>
      </c>
      <c r="W168" s="224" t="s">
        <v>911</v>
      </c>
      <c r="X168" s="223">
        <v>244688</v>
      </c>
      <c r="Y168" s="224" t="s">
        <v>3787</v>
      </c>
      <c r="Z168" s="223">
        <v>400000</v>
      </c>
      <c r="AA168" s="224" t="s">
        <v>1242</v>
      </c>
      <c r="AB168" s="223"/>
      <c r="AH168" s="223">
        <f t="shared" si="18"/>
        <v>664688</v>
      </c>
      <c r="AK168" s="171">
        <f t="shared" si="25"/>
        <v>0</v>
      </c>
      <c r="AL168" s="125">
        <v>15099495165</v>
      </c>
      <c r="AM168" s="175"/>
      <c r="AO168" s="125">
        <f t="shared" si="19"/>
        <v>664688</v>
      </c>
      <c r="AP168" s="169">
        <f>0.5%+0.14%</f>
        <v>0.0064</v>
      </c>
      <c r="AQ168" s="283">
        <f t="shared" si="20"/>
        <v>0</v>
      </c>
      <c r="AR168" s="223"/>
      <c r="AS168" s="223"/>
      <c r="AT168" s="223"/>
      <c r="AU168" s="223"/>
      <c r="AV168" s="223"/>
      <c r="AW168" s="223"/>
      <c r="AX168" s="223"/>
      <c r="AY168" s="223"/>
      <c r="AZ168" s="223"/>
      <c r="BB168" s="223"/>
      <c r="BG168" s="125">
        <v>264688</v>
      </c>
      <c r="BH168" s="125">
        <v>400000</v>
      </c>
      <c r="CI168" s="125" t="s">
        <v>260</v>
      </c>
      <c r="CJ168" s="125" t="s">
        <v>271</v>
      </c>
      <c r="CK168" s="125" t="s">
        <v>261</v>
      </c>
    </row>
    <row r="169" s="125" customFormat="1" customHeight="1" spans="1:92">
      <c r="A169" s="174">
        <v>131</v>
      </c>
      <c r="C169" s="184">
        <v>45306</v>
      </c>
      <c r="D169" s="125">
        <v>20240000357</v>
      </c>
      <c r="F169" s="1037" t="s">
        <v>4016</v>
      </c>
      <c r="G169" s="125" t="s">
        <v>4017</v>
      </c>
      <c r="H169" s="1037" t="s">
        <v>4018</v>
      </c>
      <c r="I169" s="125" t="s">
        <v>4019</v>
      </c>
      <c r="J169" s="125">
        <v>132.34</v>
      </c>
      <c r="K169" s="125">
        <v>132.34</v>
      </c>
      <c r="L169" s="125">
        <v>5237</v>
      </c>
      <c r="M169" s="282">
        <v>693065</v>
      </c>
      <c r="N169" s="223">
        <v>5187</v>
      </c>
      <c r="O169" s="165">
        <v>635839.45</v>
      </c>
      <c r="P169" s="1038" t="s">
        <v>4020</v>
      </c>
      <c r="Q169" s="210">
        <v>45831</v>
      </c>
      <c r="R169" s="223"/>
      <c r="S169" s="224"/>
      <c r="T169" s="1038" t="s">
        <v>4021</v>
      </c>
      <c r="U169" s="224" t="s">
        <v>2160</v>
      </c>
      <c r="V169" s="223">
        <v>2000</v>
      </c>
      <c r="W169" s="224" t="s">
        <v>1994</v>
      </c>
      <c r="X169" s="223">
        <v>18000</v>
      </c>
      <c r="Y169" s="224" t="s">
        <v>514</v>
      </c>
      <c r="Z169" s="223">
        <v>170065</v>
      </c>
      <c r="AA169" s="224" t="s">
        <v>3796</v>
      </c>
      <c r="AB169" s="223">
        <v>10000</v>
      </c>
      <c r="AC169" s="125" t="s">
        <v>4022</v>
      </c>
      <c r="AD169" s="223">
        <v>493000</v>
      </c>
      <c r="AE169" s="224" t="s">
        <v>437</v>
      </c>
      <c r="AH169" s="223">
        <f t="shared" si="18"/>
        <v>693065</v>
      </c>
      <c r="AK169" s="171">
        <f t="shared" ref="AK169:AK174" si="26">M169-AH169</f>
        <v>0</v>
      </c>
      <c r="AL169" s="125">
        <v>17609941943</v>
      </c>
      <c r="AM169" s="175"/>
      <c r="AO169" s="125">
        <f t="shared" si="19"/>
        <v>693065</v>
      </c>
      <c r="AP169" s="169">
        <f>0.4%+0.02%+0.08%</f>
        <v>0.005</v>
      </c>
      <c r="AQ169" s="283">
        <f t="shared" si="20"/>
        <v>0</v>
      </c>
      <c r="AR169" s="223"/>
      <c r="AS169" s="223"/>
      <c r="AT169" s="223"/>
      <c r="AU169" s="223"/>
      <c r="AV169" s="223"/>
      <c r="AW169" s="223"/>
      <c r="AX169" s="223"/>
      <c r="AY169" s="223"/>
      <c r="AZ169" s="223"/>
      <c r="BB169" s="223"/>
      <c r="BE169" s="125">
        <v>200065</v>
      </c>
      <c r="BG169" s="125">
        <v>493000</v>
      </c>
      <c r="CI169" s="125" t="s">
        <v>260</v>
      </c>
      <c r="CJ169" s="125" t="s">
        <v>271</v>
      </c>
      <c r="CK169" s="125" t="s">
        <v>261</v>
      </c>
    </row>
    <row r="170" s="125" customFormat="1" customHeight="1" spans="1:92">
      <c r="A170" s="174">
        <v>132</v>
      </c>
      <c r="C170" s="184">
        <v>45345</v>
      </c>
      <c r="D170" s="125">
        <v>20240000937</v>
      </c>
      <c r="F170" s="1037" t="s">
        <v>4023</v>
      </c>
      <c r="G170" s="125" t="s">
        <v>4024</v>
      </c>
      <c r="H170" s="1037" t="s">
        <v>4025</v>
      </c>
      <c r="I170" s="125" t="s">
        <v>4026</v>
      </c>
      <c r="J170" s="125">
        <v>86.14</v>
      </c>
      <c r="K170" s="125">
        <v>86.14</v>
      </c>
      <c r="L170" s="125">
        <v>5340.14</v>
      </c>
      <c r="M170" s="282">
        <v>460000</v>
      </c>
      <c r="N170" s="223">
        <v>5247</v>
      </c>
      <c r="O170" s="165">
        <v>422018.35</v>
      </c>
      <c r="P170" s="1038" t="s">
        <v>4027</v>
      </c>
      <c r="Q170" s="210">
        <v>45831</v>
      </c>
      <c r="R170" s="223"/>
      <c r="S170" s="224"/>
      <c r="T170" s="174"/>
      <c r="U170" s="224" t="s">
        <v>277</v>
      </c>
      <c r="V170" s="223">
        <v>20000</v>
      </c>
      <c r="W170" s="224" t="s">
        <v>911</v>
      </c>
      <c r="X170" s="223">
        <v>280000</v>
      </c>
      <c r="Y170" s="210" t="s">
        <v>4028</v>
      </c>
      <c r="Z170" s="223">
        <v>160000</v>
      </c>
      <c r="AA170" s="224" t="s">
        <v>1078</v>
      </c>
      <c r="AB170" s="223"/>
      <c r="AH170" s="223">
        <f t="shared" si="18"/>
        <v>460000</v>
      </c>
      <c r="AK170" s="171">
        <f t="shared" si="26"/>
        <v>0</v>
      </c>
      <c r="AL170" s="125">
        <v>16609967350</v>
      </c>
      <c r="AM170" s="175"/>
      <c r="AO170" s="125">
        <f t="shared" si="19"/>
        <v>460000</v>
      </c>
      <c r="AP170" s="169">
        <f>0.6%+0.05%+0.14%</f>
        <v>0.0079</v>
      </c>
      <c r="AQ170" s="283">
        <f t="shared" si="20"/>
        <v>0</v>
      </c>
      <c r="AR170" s="223"/>
      <c r="AS170" s="223"/>
      <c r="AT170" s="223"/>
      <c r="AU170" s="223"/>
      <c r="AV170" s="223"/>
      <c r="AW170" s="223"/>
      <c r="AX170" s="223"/>
      <c r="AY170" s="223"/>
      <c r="AZ170" s="223"/>
      <c r="BB170" s="223"/>
      <c r="BG170" s="125">
        <v>460000</v>
      </c>
      <c r="CI170" s="125" t="s">
        <v>260</v>
      </c>
      <c r="CJ170" s="125" t="s">
        <v>271</v>
      </c>
      <c r="CK170" s="125" t="s">
        <v>261</v>
      </c>
    </row>
    <row r="171" s="125" customFormat="1" customHeight="1" spans="1:92">
      <c r="A171" s="174">
        <v>133</v>
      </c>
      <c r="C171" s="184">
        <v>45374</v>
      </c>
      <c r="D171" s="125">
        <v>20240001569</v>
      </c>
      <c r="F171" s="1037" t="s">
        <v>4029</v>
      </c>
      <c r="G171" s="125" t="s">
        <v>4030</v>
      </c>
      <c r="H171" s="1037" t="s">
        <v>4031</v>
      </c>
      <c r="I171" s="125" t="s">
        <v>4032</v>
      </c>
      <c r="J171" s="125">
        <v>126.97</v>
      </c>
      <c r="K171" s="125">
        <v>126.97</v>
      </c>
      <c r="L171" s="125">
        <v>5261.05</v>
      </c>
      <c r="M171" s="282">
        <v>668000</v>
      </c>
      <c r="N171" s="223">
        <v>5197</v>
      </c>
      <c r="O171" s="165">
        <v>612844.04</v>
      </c>
      <c r="P171" s="1038" t="s">
        <v>4033</v>
      </c>
      <c r="Q171" s="210">
        <v>45831</v>
      </c>
      <c r="R171" s="223"/>
      <c r="S171" s="224"/>
      <c r="T171" s="174"/>
      <c r="U171" s="224" t="s">
        <v>546</v>
      </c>
      <c r="V171" s="223">
        <v>20000</v>
      </c>
      <c r="W171" s="224" t="s">
        <v>4034</v>
      </c>
      <c r="X171" s="223">
        <v>188000</v>
      </c>
      <c r="Y171" s="210" t="s">
        <v>1078</v>
      </c>
      <c r="Z171" s="223">
        <v>130000</v>
      </c>
      <c r="AA171" s="224" t="s">
        <v>4035</v>
      </c>
      <c r="AB171" s="223">
        <v>330000</v>
      </c>
      <c r="AC171" s="125" t="s">
        <v>269</v>
      </c>
      <c r="AH171" s="223">
        <f t="shared" si="18"/>
        <v>668000</v>
      </c>
      <c r="AK171" s="171">
        <f t="shared" si="26"/>
        <v>0</v>
      </c>
      <c r="AL171" s="125">
        <v>13709956017</v>
      </c>
      <c r="AM171" s="175"/>
      <c r="AO171" s="125">
        <f t="shared" si="19"/>
        <v>668000</v>
      </c>
      <c r="AP171" s="169">
        <f>0.4%+0.12%</f>
        <v>0.0052</v>
      </c>
      <c r="AQ171" s="283">
        <f t="shared" si="20"/>
        <v>0</v>
      </c>
      <c r="AR171" s="223"/>
      <c r="AS171" s="223"/>
      <c r="AT171" s="223"/>
      <c r="AU171" s="223"/>
      <c r="AV171" s="223"/>
      <c r="AW171" s="223"/>
      <c r="AX171" s="223"/>
      <c r="AY171" s="223"/>
      <c r="AZ171" s="223"/>
      <c r="BB171" s="223"/>
      <c r="BH171" s="125">
        <v>668000</v>
      </c>
      <c r="CI171" s="125" t="s">
        <v>260</v>
      </c>
      <c r="CJ171" s="125" t="s">
        <v>271</v>
      </c>
      <c r="CK171" s="125" t="s">
        <v>261</v>
      </c>
    </row>
    <row r="172" s="125" customFormat="1" customHeight="1" spans="1:92">
      <c r="A172" s="174">
        <v>134</v>
      </c>
      <c r="C172" s="184">
        <v>45308</v>
      </c>
      <c r="D172" s="125">
        <v>20240000403</v>
      </c>
      <c r="F172" s="1037" t="s">
        <v>4036</v>
      </c>
      <c r="G172" s="125" t="s">
        <v>4037</v>
      </c>
      <c r="H172" s="1037" t="s">
        <v>4038</v>
      </c>
      <c r="I172" s="125" t="s">
        <v>4039</v>
      </c>
      <c r="J172" s="125">
        <v>132.34</v>
      </c>
      <c r="K172" s="125">
        <v>132.34</v>
      </c>
      <c r="L172" s="125">
        <v>5236.51</v>
      </c>
      <c r="M172" s="282">
        <v>693000</v>
      </c>
      <c r="N172" s="223">
        <v>5217</v>
      </c>
      <c r="O172" s="165">
        <v>635779.82</v>
      </c>
      <c r="P172" s="1038" t="s">
        <v>4040</v>
      </c>
      <c r="Q172" s="210">
        <v>45831</v>
      </c>
      <c r="R172" s="223"/>
      <c r="S172" s="224"/>
      <c r="T172" s="174"/>
      <c r="U172" s="224" t="s">
        <v>284</v>
      </c>
      <c r="V172" s="223">
        <v>20000</v>
      </c>
      <c r="W172" s="224" t="s">
        <v>514</v>
      </c>
      <c r="X172" s="223">
        <v>203000</v>
      </c>
      <c r="Y172" s="224" t="s">
        <v>4041</v>
      </c>
      <c r="Z172" s="125">
        <v>80000</v>
      </c>
      <c r="AA172" s="171" t="s">
        <v>4042</v>
      </c>
      <c r="AB172" s="223">
        <v>390000</v>
      </c>
      <c r="AC172" s="224" t="s">
        <v>527</v>
      </c>
      <c r="AH172" s="223">
        <f t="shared" si="18"/>
        <v>693000</v>
      </c>
      <c r="AK172" s="171">
        <f t="shared" si="26"/>
        <v>0</v>
      </c>
      <c r="AL172" s="125">
        <v>18793106742</v>
      </c>
      <c r="AM172" s="175"/>
      <c r="AO172" s="125">
        <f t="shared" si="19"/>
        <v>693000</v>
      </c>
      <c r="AP172" s="169">
        <f>0.5%+0.02%+0.08%</f>
        <v>0.006</v>
      </c>
      <c r="AQ172" s="283">
        <f t="shared" si="20"/>
        <v>0</v>
      </c>
      <c r="AR172" s="223"/>
      <c r="AS172" s="223"/>
      <c r="AT172" s="223"/>
      <c r="AU172" s="223"/>
      <c r="AV172" s="223"/>
      <c r="AW172" s="223"/>
      <c r="AX172" s="223"/>
      <c r="AY172" s="223"/>
      <c r="AZ172" s="223"/>
      <c r="BB172" s="223"/>
      <c r="BE172" s="125">
        <v>303000</v>
      </c>
      <c r="BG172" s="125">
        <v>390000</v>
      </c>
      <c r="CI172" s="125" t="s">
        <v>260</v>
      </c>
      <c r="CJ172" s="125" t="s">
        <v>271</v>
      </c>
      <c r="CK172" s="125" t="s">
        <v>261</v>
      </c>
    </row>
    <row r="173" s="125" customFormat="1" ht="83" customHeight="1" spans="1:92">
      <c r="A173" s="174">
        <v>135</v>
      </c>
      <c r="C173" s="184">
        <v>45457</v>
      </c>
      <c r="D173" s="125">
        <v>20240003503</v>
      </c>
      <c r="F173" s="1037" t="s">
        <v>4043</v>
      </c>
      <c r="G173" s="175" t="s">
        <v>4044</v>
      </c>
      <c r="H173" s="175" t="s">
        <v>4045</v>
      </c>
      <c r="I173" s="125" t="s">
        <v>4046</v>
      </c>
      <c r="J173" s="125">
        <v>86.14</v>
      </c>
      <c r="K173" s="125">
        <v>86.14</v>
      </c>
      <c r="L173" s="125">
        <f>M173/K173</f>
        <v>5456.23403761319</v>
      </c>
      <c r="M173" s="282">
        <f>251070+218930</f>
        <v>470000</v>
      </c>
      <c r="N173" s="223">
        <v>5267</v>
      </c>
      <c r="O173" s="165">
        <v>431192.66</v>
      </c>
      <c r="P173" s="1038" t="s">
        <v>4047</v>
      </c>
      <c r="Q173" s="210">
        <v>45831</v>
      </c>
      <c r="R173" s="223"/>
      <c r="S173" s="224"/>
      <c r="T173" s="174"/>
      <c r="U173" s="224"/>
      <c r="V173" s="223">
        <f>243576+218930</f>
        <v>462506</v>
      </c>
      <c r="W173" s="224" t="s">
        <v>502</v>
      </c>
      <c r="X173" s="223">
        <v>7494</v>
      </c>
      <c r="Y173" s="210" t="s">
        <v>502</v>
      </c>
      <c r="AA173" s="171"/>
      <c r="AB173" s="223"/>
      <c r="AH173" s="223">
        <f t="shared" si="18"/>
        <v>470000</v>
      </c>
      <c r="AK173" s="171">
        <f t="shared" si="26"/>
        <v>0</v>
      </c>
      <c r="AM173" s="175"/>
      <c r="AO173" s="125">
        <f t="shared" si="19"/>
        <v>0</v>
      </c>
      <c r="AP173" s="169"/>
      <c r="AQ173" s="283">
        <f t="shared" si="20"/>
        <v>0</v>
      </c>
      <c r="AR173" s="223"/>
      <c r="AS173" s="223"/>
      <c r="AT173" s="223"/>
      <c r="AU173" s="223"/>
      <c r="AV173" s="223"/>
      <c r="AW173" s="223"/>
      <c r="AX173" s="223"/>
      <c r="AY173" s="223"/>
      <c r="AZ173" s="223"/>
      <c r="BB173" s="223"/>
      <c r="CI173" s="125" t="s">
        <v>260</v>
      </c>
      <c r="CK173" s="125" t="s">
        <v>261</v>
      </c>
    </row>
    <row r="174" s="125" customFormat="1" customHeight="1" spans="1:92">
      <c r="A174" s="174">
        <v>136</v>
      </c>
      <c r="C174" s="184">
        <v>45356</v>
      </c>
      <c r="D174" s="125">
        <v>20240001176</v>
      </c>
      <c r="F174" s="1037" t="s">
        <v>4048</v>
      </c>
      <c r="G174" s="125" t="s">
        <v>4049</v>
      </c>
      <c r="I174" s="125" t="s">
        <v>4050</v>
      </c>
      <c r="J174" s="125">
        <v>126.97</v>
      </c>
      <c r="K174" s="125">
        <v>126.97</v>
      </c>
      <c r="L174" s="125">
        <v>5327</v>
      </c>
      <c r="M174" s="282">
        <v>676369</v>
      </c>
      <c r="N174" s="223">
        <v>5227</v>
      </c>
      <c r="O174" s="165">
        <v>620522.02</v>
      </c>
      <c r="P174" s="1038" t="s">
        <v>4051</v>
      </c>
      <c r="Q174" s="210">
        <v>45838</v>
      </c>
      <c r="R174" s="223"/>
      <c r="S174" s="224"/>
      <c r="T174" s="174"/>
      <c r="U174" s="224" t="s">
        <v>284</v>
      </c>
      <c r="V174" s="223">
        <v>49369</v>
      </c>
      <c r="W174" s="224" t="s">
        <v>753</v>
      </c>
      <c r="X174" s="223">
        <v>86000</v>
      </c>
      <c r="Y174" s="210" t="s">
        <v>3752</v>
      </c>
      <c r="Z174" s="223">
        <v>541000</v>
      </c>
      <c r="AA174" s="224" t="s">
        <v>3952</v>
      </c>
      <c r="AB174" s="223"/>
      <c r="AH174" s="223">
        <f t="shared" si="18"/>
        <v>676369</v>
      </c>
      <c r="AK174" s="171">
        <f t="shared" si="26"/>
        <v>0</v>
      </c>
      <c r="AM174" s="175"/>
      <c r="AO174" s="125">
        <f t="shared" si="19"/>
        <v>676369</v>
      </c>
      <c r="AP174" s="169">
        <f>0.7%+0.04%+0.12%</f>
        <v>0.0086</v>
      </c>
      <c r="AQ174" s="283">
        <f t="shared" si="20"/>
        <v>0</v>
      </c>
      <c r="AR174" s="223"/>
      <c r="AS174" s="223"/>
      <c r="AT174" s="223"/>
      <c r="AU174" s="223"/>
      <c r="AV174" s="223"/>
      <c r="AW174" s="223"/>
      <c r="AX174" s="223"/>
      <c r="AY174" s="223"/>
      <c r="AZ174" s="223"/>
      <c r="BB174" s="223"/>
      <c r="BG174" s="125">
        <v>135369</v>
      </c>
      <c r="BI174" s="125">
        <v>541000</v>
      </c>
      <c r="CI174" s="125" t="s">
        <v>260</v>
      </c>
      <c r="CJ174" s="125" t="s">
        <v>271</v>
      </c>
      <c r="CK174" s="125" t="s">
        <v>261</v>
      </c>
      <c r="CN174" s="125">
        <f>CL174-CM174</f>
        <v>0</v>
      </c>
    </row>
    <row r="175" s="125" customFormat="1" customHeight="1" spans="1:92">
      <c r="A175" s="174">
        <v>137</v>
      </c>
      <c r="C175" s="184">
        <v>45312</v>
      </c>
      <c r="D175" s="125">
        <v>20240000481</v>
      </c>
      <c r="F175" s="1037" t="s">
        <v>4052</v>
      </c>
      <c r="G175" s="125" t="s">
        <v>3625</v>
      </c>
      <c r="H175" s="1037" t="s">
        <v>4053</v>
      </c>
      <c r="I175" s="125" t="s">
        <v>4054</v>
      </c>
      <c r="J175" s="125">
        <v>132.34</v>
      </c>
      <c r="K175" s="125">
        <v>132.34</v>
      </c>
      <c r="L175" s="125">
        <v>5288.44</v>
      </c>
      <c r="M175" s="282">
        <v>699872</v>
      </c>
      <c r="N175" s="223">
        <v>5264</v>
      </c>
      <c r="O175" s="165">
        <v>642084.4</v>
      </c>
      <c r="P175" s="1038" t="s">
        <v>4055</v>
      </c>
      <c r="Q175" s="210">
        <v>45838</v>
      </c>
      <c r="R175" s="223"/>
      <c r="S175" s="224"/>
      <c r="T175" s="174"/>
      <c r="U175" s="224" t="s">
        <v>284</v>
      </c>
      <c r="V175" s="223">
        <v>20000</v>
      </c>
      <c r="W175" s="224" t="s">
        <v>1754</v>
      </c>
      <c r="X175" s="223">
        <f>124000+65872</f>
        <v>189872</v>
      </c>
      <c r="Y175" s="210" t="s">
        <v>2615</v>
      </c>
      <c r="Z175" s="125">
        <v>90000</v>
      </c>
      <c r="AA175" s="171" t="s">
        <v>448</v>
      </c>
      <c r="AB175" s="223">
        <v>400000</v>
      </c>
      <c r="AC175" s="224" t="s">
        <v>4056</v>
      </c>
      <c r="AH175" s="223">
        <f t="shared" si="18"/>
        <v>699872</v>
      </c>
      <c r="AK175" s="171">
        <f t="shared" ref="AK175:AK180" si="27">M175-AH175</f>
        <v>0</v>
      </c>
      <c r="AL175" s="125">
        <v>15739881080</v>
      </c>
      <c r="AM175" s="175"/>
      <c r="AO175" s="125">
        <f t="shared" si="19"/>
        <v>699872</v>
      </c>
      <c r="AP175" s="169">
        <f>0.7%+0.03%+0.12%</f>
        <v>0.0085</v>
      </c>
      <c r="AQ175" s="283">
        <f t="shared" si="20"/>
        <v>0</v>
      </c>
      <c r="AR175" s="223"/>
      <c r="AS175" s="223"/>
      <c r="AT175" s="223"/>
      <c r="AU175" s="223"/>
      <c r="AV175" s="223"/>
      <c r="AW175" s="223"/>
      <c r="AX175" s="223"/>
      <c r="AY175" s="223"/>
      <c r="AZ175" s="223"/>
      <c r="BB175" s="223"/>
      <c r="BE175" s="125">
        <v>299872</v>
      </c>
      <c r="BG175" s="125">
        <v>400000</v>
      </c>
      <c r="CI175" s="125" t="s">
        <v>260</v>
      </c>
      <c r="CJ175" s="125" t="s">
        <v>271</v>
      </c>
      <c r="CK175" s="125" t="s">
        <v>261</v>
      </c>
    </row>
    <row r="176" s="125" customFormat="1" customHeight="1" spans="1:92">
      <c r="A176" s="174">
        <v>138</v>
      </c>
      <c r="B176" s="125"/>
      <c r="C176" s="184">
        <v>45646</v>
      </c>
      <c r="D176" s="125">
        <v>20240007359</v>
      </c>
      <c r="F176" s="1037" t="s">
        <v>4057</v>
      </c>
      <c r="G176" s="175" t="s">
        <v>4058</v>
      </c>
      <c r="H176" s="1037" t="s">
        <v>4059</v>
      </c>
      <c r="I176" s="125" t="s">
        <v>4060</v>
      </c>
      <c r="J176" s="125">
        <v>86.14</v>
      </c>
      <c r="K176" s="125">
        <v>86.14</v>
      </c>
      <c r="L176" s="125">
        <v>5030.35</v>
      </c>
      <c r="M176" s="282">
        <v>433314</v>
      </c>
      <c r="N176" s="223">
        <v>5305</v>
      </c>
      <c r="O176" s="165">
        <v>397535.78</v>
      </c>
      <c r="P176" s="1038" t="s">
        <v>4061</v>
      </c>
      <c r="Q176" s="210">
        <v>45838</v>
      </c>
      <c r="R176" s="223"/>
      <c r="S176" s="224"/>
      <c r="T176" s="174"/>
      <c r="U176" s="224" t="s">
        <v>380</v>
      </c>
      <c r="V176" s="223">
        <f>314+20000</f>
        <v>20314</v>
      </c>
      <c r="W176" s="224" t="s">
        <v>3281</v>
      </c>
      <c r="X176" s="223">
        <v>200000</v>
      </c>
      <c r="Y176" s="224" t="s">
        <v>3296</v>
      </c>
      <c r="Z176" s="223">
        <v>213000</v>
      </c>
      <c r="AA176" s="224" t="s">
        <v>4062</v>
      </c>
      <c r="AB176" s="223"/>
      <c r="AH176" s="223">
        <f t="shared" si="18"/>
        <v>433314</v>
      </c>
      <c r="AK176" s="171">
        <f t="shared" si="27"/>
        <v>0</v>
      </c>
      <c r="AL176" s="125">
        <v>18340309633</v>
      </c>
      <c r="AM176" s="175" t="s">
        <v>3467</v>
      </c>
      <c r="AO176" s="125">
        <f t="shared" si="19"/>
        <v>433314</v>
      </c>
      <c r="AP176" s="169">
        <f>0.6%+0.03%+0.08%+0.03%</f>
        <v>0.0074</v>
      </c>
      <c r="AQ176" s="283">
        <f t="shared" si="20"/>
        <v>0</v>
      </c>
      <c r="AR176" s="223"/>
      <c r="AS176" s="223"/>
      <c r="AT176" s="223"/>
      <c r="AU176" s="223"/>
      <c r="AV176" s="223"/>
      <c r="AW176" s="223"/>
      <c r="AX176" s="223"/>
      <c r="AY176" s="223"/>
      <c r="AZ176" s="223"/>
      <c r="BB176" s="223"/>
      <c r="BQ176" s="125">
        <v>220314</v>
      </c>
      <c r="BR176" s="125">
        <v>213000</v>
      </c>
      <c r="CI176" s="125" t="s">
        <v>260</v>
      </c>
      <c r="CK176" s="125" t="s">
        <v>261</v>
      </c>
    </row>
    <row r="177" s="125" customFormat="1" customHeight="1" spans="1:92">
      <c r="A177" s="174">
        <v>139</v>
      </c>
      <c r="C177" s="184">
        <v>45356</v>
      </c>
      <c r="D177" s="125">
        <v>20240001164</v>
      </c>
      <c r="F177" s="1037" t="s">
        <v>4063</v>
      </c>
      <c r="G177" s="125" t="s">
        <v>3328</v>
      </c>
      <c r="H177" s="1037" t="s">
        <v>4064</v>
      </c>
      <c r="I177" s="125" t="s">
        <v>4065</v>
      </c>
      <c r="J177" s="125">
        <v>126.97</v>
      </c>
      <c r="K177" s="125">
        <v>126.97</v>
      </c>
      <c r="L177" s="125">
        <v>5300</v>
      </c>
      <c r="M177" s="282">
        <v>672941</v>
      </c>
      <c r="N177" s="223">
        <v>5274</v>
      </c>
      <c r="O177" s="165">
        <v>617377.06</v>
      </c>
      <c r="P177" s="1038" t="s">
        <v>4066</v>
      </c>
      <c r="Q177" s="210">
        <v>45838</v>
      </c>
      <c r="R177" s="223"/>
      <c r="S177" s="224"/>
      <c r="T177" s="174"/>
      <c r="U177" s="224" t="s">
        <v>284</v>
      </c>
      <c r="V177" s="223">
        <v>10000</v>
      </c>
      <c r="W177" s="224" t="s">
        <v>953</v>
      </c>
      <c r="X177" s="223">
        <v>192941</v>
      </c>
      <c r="Y177" s="224" t="s">
        <v>753</v>
      </c>
      <c r="Z177" s="223">
        <v>470000</v>
      </c>
      <c r="AA177" s="125" t="s">
        <v>3788</v>
      </c>
      <c r="AB177" s="223"/>
      <c r="AH177" s="223">
        <f t="shared" si="18"/>
        <v>672941</v>
      </c>
      <c r="AK177" s="171">
        <f t="shared" si="27"/>
        <v>0</v>
      </c>
      <c r="AL177" s="125">
        <v>19916461484</v>
      </c>
      <c r="AM177" s="175"/>
      <c r="AO177" s="125">
        <f t="shared" si="19"/>
        <v>672941</v>
      </c>
      <c r="AP177" s="169">
        <f>0.6%+0.04%+0.14%</f>
        <v>0.0078</v>
      </c>
      <c r="AQ177" s="283">
        <f t="shared" si="20"/>
        <v>0</v>
      </c>
      <c r="AR177" s="223"/>
      <c r="AS177" s="223"/>
      <c r="AT177" s="223"/>
      <c r="AU177" s="223"/>
      <c r="AV177" s="223"/>
      <c r="AW177" s="223"/>
      <c r="AX177" s="223"/>
      <c r="AY177" s="223"/>
      <c r="AZ177" s="223"/>
      <c r="BB177" s="223"/>
      <c r="BG177" s="125">
        <v>672941</v>
      </c>
      <c r="CI177" s="125" t="s">
        <v>260</v>
      </c>
      <c r="CJ177" s="125" t="s">
        <v>271</v>
      </c>
      <c r="CK177" s="125" t="s">
        <v>261</v>
      </c>
    </row>
    <row r="178" s="125" customFormat="1" customHeight="1" spans="1:92">
      <c r="A178" s="174">
        <v>140</v>
      </c>
      <c r="C178" s="184">
        <v>45325</v>
      </c>
      <c r="D178" s="125">
        <v>20240000768</v>
      </c>
      <c r="F178" s="1037" t="s">
        <v>4067</v>
      </c>
      <c r="G178" s="125" t="s">
        <v>4068</v>
      </c>
      <c r="I178" s="125" t="s">
        <v>4069</v>
      </c>
      <c r="J178" s="125">
        <v>132.34</v>
      </c>
      <c r="K178" s="125">
        <v>132.34</v>
      </c>
      <c r="L178" s="125">
        <v>5360</v>
      </c>
      <c r="M178" s="282">
        <v>709343</v>
      </c>
      <c r="N178" s="223">
        <v>5297</v>
      </c>
      <c r="O178" s="165">
        <v>650773.39</v>
      </c>
      <c r="P178" s="1038" t="s">
        <v>4070</v>
      </c>
      <c r="Q178" s="210">
        <v>45838</v>
      </c>
      <c r="R178" s="223"/>
      <c r="S178" s="224"/>
      <c r="T178" s="174"/>
      <c r="U178" s="224" t="s">
        <v>267</v>
      </c>
      <c r="V178" s="223">
        <v>20000</v>
      </c>
      <c r="W178" s="224" t="s">
        <v>448</v>
      </c>
      <c r="X178" s="223">
        <v>94343</v>
      </c>
      <c r="Y178" s="210" t="s">
        <v>4071</v>
      </c>
      <c r="Z178" s="223">
        <v>35000</v>
      </c>
      <c r="AA178" s="224" t="s">
        <v>3781</v>
      </c>
      <c r="AB178" s="223">
        <v>560000</v>
      </c>
      <c r="AC178" s="224" t="s">
        <v>269</v>
      </c>
      <c r="AH178" s="223">
        <f t="shared" si="18"/>
        <v>709343</v>
      </c>
      <c r="AK178" s="171">
        <f t="shared" si="27"/>
        <v>0</v>
      </c>
      <c r="AL178" s="125">
        <v>18299788507</v>
      </c>
      <c r="AM178" s="175"/>
      <c r="AO178" s="125">
        <f t="shared" si="19"/>
        <v>709343</v>
      </c>
      <c r="AP178" s="169">
        <f>0.6%+0.12%</f>
        <v>0.0072</v>
      </c>
      <c r="AQ178" s="283">
        <f t="shared" si="20"/>
        <v>0</v>
      </c>
      <c r="AR178" s="223"/>
      <c r="AS178" s="223"/>
      <c r="AT178" s="223"/>
      <c r="AU178" s="223"/>
      <c r="AV178" s="223"/>
      <c r="AW178" s="223"/>
      <c r="AX178" s="223"/>
      <c r="AY178" s="223"/>
      <c r="AZ178" s="223"/>
      <c r="BB178" s="223"/>
      <c r="BG178" s="125">
        <v>149343</v>
      </c>
      <c r="BH178" s="125">
        <v>560000</v>
      </c>
      <c r="CI178" s="125" t="s">
        <v>260</v>
      </c>
      <c r="CJ178" s="125" t="s">
        <v>271</v>
      </c>
      <c r="CK178" s="125" t="s">
        <v>261</v>
      </c>
    </row>
    <row r="179" s="125" customFormat="1" customHeight="1" spans="1:92">
      <c r="A179" s="174">
        <v>141</v>
      </c>
      <c r="B179" s="125"/>
      <c r="C179" s="184">
        <v>45569</v>
      </c>
      <c r="D179" s="125">
        <v>20240005800</v>
      </c>
      <c r="F179" s="1037" t="s">
        <v>4072</v>
      </c>
      <c r="G179" s="125" t="s">
        <v>4073</v>
      </c>
      <c r="H179" s="1037" t="s">
        <v>4074</v>
      </c>
      <c r="I179" s="125" t="s">
        <v>4075</v>
      </c>
      <c r="J179" s="125">
        <v>86.14</v>
      </c>
      <c r="K179" s="125">
        <v>86.14</v>
      </c>
      <c r="L179" s="125">
        <v>5224.05</v>
      </c>
      <c r="M179" s="282">
        <v>450000</v>
      </c>
      <c r="N179" s="223">
        <v>5224.05</v>
      </c>
      <c r="O179" s="165">
        <v>412844.04</v>
      </c>
      <c r="P179" s="1038" t="s">
        <v>4076</v>
      </c>
      <c r="Q179" s="210">
        <v>45838</v>
      </c>
      <c r="R179" s="223"/>
      <c r="S179" s="224"/>
      <c r="T179" s="174"/>
      <c r="U179" s="224" t="s">
        <v>656</v>
      </c>
      <c r="V179" s="223">
        <v>10000</v>
      </c>
      <c r="W179" s="224">
        <v>45559</v>
      </c>
      <c r="X179" s="223">
        <v>71000</v>
      </c>
      <c r="Y179" s="224" t="s">
        <v>497</v>
      </c>
      <c r="Z179" s="125">
        <v>219000</v>
      </c>
      <c r="AA179" s="171" t="s">
        <v>4077</v>
      </c>
      <c r="AB179" s="223">
        <v>150000</v>
      </c>
      <c r="AC179" s="224" t="s">
        <v>382</v>
      </c>
      <c r="AH179" s="223">
        <f t="shared" si="18"/>
        <v>450000</v>
      </c>
      <c r="AK179" s="171">
        <f t="shared" si="27"/>
        <v>0</v>
      </c>
      <c r="AL179" s="125">
        <v>13779243720</v>
      </c>
      <c r="AM179" s="175" t="s">
        <v>3819</v>
      </c>
      <c r="AO179" s="125">
        <f t="shared" si="19"/>
        <v>450000</v>
      </c>
      <c r="AP179" s="169">
        <f>0.5%+0.04%+0.1%</f>
        <v>0.0064</v>
      </c>
      <c r="AQ179" s="283">
        <f t="shared" si="20"/>
        <v>0</v>
      </c>
      <c r="AR179" s="223"/>
      <c r="AS179" s="223"/>
      <c r="AT179" s="223"/>
      <c r="AU179" s="223"/>
      <c r="AV179" s="223"/>
      <c r="AW179" s="223"/>
      <c r="AX179" s="223"/>
      <c r="AY179" s="223"/>
      <c r="AZ179" s="223"/>
      <c r="BB179" s="223"/>
      <c r="BN179" s="125">
        <v>300000</v>
      </c>
      <c r="BO179" s="125">
        <v>150000</v>
      </c>
      <c r="CI179" s="125" t="s">
        <v>260</v>
      </c>
      <c r="CK179" s="125" t="s">
        <v>261</v>
      </c>
    </row>
    <row r="180" s="125" customFormat="1" customHeight="1" spans="1:92">
      <c r="A180" s="174">
        <v>142</v>
      </c>
      <c r="C180" s="184">
        <v>45380</v>
      </c>
      <c r="D180" s="125">
        <v>20240001739</v>
      </c>
      <c r="F180" s="1037" t="s">
        <v>4078</v>
      </c>
      <c r="G180" s="125" t="s">
        <v>4079</v>
      </c>
      <c r="H180" s="1037" t="s">
        <v>4080</v>
      </c>
      <c r="I180" s="125" t="s">
        <v>4081</v>
      </c>
      <c r="J180" s="125">
        <v>126.97</v>
      </c>
      <c r="K180" s="125">
        <v>126.97</v>
      </c>
      <c r="L180" s="125">
        <v>5400</v>
      </c>
      <c r="M180" s="282">
        <v>685638</v>
      </c>
      <c r="N180" s="223">
        <v>5307</v>
      </c>
      <c r="O180" s="165">
        <v>629025.69</v>
      </c>
      <c r="P180" s="1038" t="s">
        <v>4082</v>
      </c>
      <c r="Q180" s="210">
        <v>45838</v>
      </c>
      <c r="R180" s="223"/>
      <c r="S180" s="224"/>
      <c r="T180" s="174"/>
      <c r="U180" s="224" t="s">
        <v>267</v>
      </c>
      <c r="V180" s="223">
        <v>20000</v>
      </c>
      <c r="W180" s="224" t="s">
        <v>4083</v>
      </c>
      <c r="X180" s="223">
        <f>170000+115638</f>
        <v>285638</v>
      </c>
      <c r="Y180" s="210" t="s">
        <v>527</v>
      </c>
      <c r="Z180" s="223">
        <v>380000</v>
      </c>
      <c r="AA180" s="224">
        <v>45537</v>
      </c>
      <c r="AB180" s="223"/>
      <c r="AH180" s="223">
        <f t="shared" si="18"/>
        <v>685638</v>
      </c>
      <c r="AK180" s="171">
        <f t="shared" si="27"/>
        <v>0</v>
      </c>
      <c r="AL180" s="125">
        <v>19839627526</v>
      </c>
      <c r="AM180" s="175"/>
      <c r="AO180" s="125">
        <f t="shared" si="19"/>
        <v>685638</v>
      </c>
      <c r="AP180" s="169">
        <f>0.6%+0.12%</f>
        <v>0.0072</v>
      </c>
      <c r="AQ180" s="283">
        <f t="shared" si="20"/>
        <v>0</v>
      </c>
      <c r="AR180" s="223"/>
      <c r="AS180" s="223"/>
      <c r="AT180" s="223"/>
      <c r="AU180" s="223"/>
      <c r="AV180" s="223"/>
      <c r="AW180" s="223"/>
      <c r="AX180" s="223"/>
      <c r="AY180" s="223"/>
      <c r="AZ180" s="223"/>
      <c r="BB180" s="223"/>
      <c r="BH180" s="125">
        <v>305638</v>
      </c>
      <c r="BM180" s="125">
        <v>380000</v>
      </c>
      <c r="CI180" s="125" t="s">
        <v>260</v>
      </c>
      <c r="CK180" s="125" t="s">
        <v>261</v>
      </c>
    </row>
    <row r="181" s="125" customFormat="1" customHeight="1" spans="1:92">
      <c r="A181" s="174">
        <v>143</v>
      </c>
      <c r="C181" s="184">
        <v>45359</v>
      </c>
      <c r="D181" s="125">
        <v>20240001229</v>
      </c>
      <c r="F181" s="1037" t="s">
        <v>4084</v>
      </c>
      <c r="G181" s="125" t="s">
        <v>4085</v>
      </c>
      <c r="H181" s="1037" t="s">
        <v>4086</v>
      </c>
      <c r="I181" s="125" t="s">
        <v>4087</v>
      </c>
      <c r="J181" s="125">
        <v>132.34</v>
      </c>
      <c r="K181" s="125">
        <v>132.34</v>
      </c>
      <c r="L181" s="125">
        <v>5400</v>
      </c>
      <c r="M181" s="282">
        <v>714636</v>
      </c>
      <c r="N181" s="223">
        <v>5334</v>
      </c>
      <c r="O181" s="165">
        <v>655629.36</v>
      </c>
      <c r="P181" s="1038" t="s">
        <v>4088</v>
      </c>
      <c r="Q181" s="210">
        <v>45838</v>
      </c>
      <c r="R181" s="223"/>
      <c r="S181" s="224"/>
      <c r="T181" s="174"/>
      <c r="U181" s="224" t="s">
        <v>546</v>
      </c>
      <c r="V181" s="223">
        <v>20000</v>
      </c>
      <c r="W181" s="224" t="s">
        <v>3787</v>
      </c>
      <c r="X181" s="223">
        <v>224636</v>
      </c>
      <c r="Y181" s="210" t="s">
        <v>3866</v>
      </c>
      <c r="Z181" s="125">
        <v>470000</v>
      </c>
      <c r="AA181" s="171" t="s">
        <v>4089</v>
      </c>
      <c r="AB181" s="223"/>
      <c r="AH181" s="223">
        <f t="shared" si="18"/>
        <v>714636</v>
      </c>
      <c r="AK181" s="171">
        <f t="shared" ref="AK181:AK190" si="28">M181-AH181</f>
        <v>0</v>
      </c>
      <c r="AL181" s="125">
        <v>18909966805</v>
      </c>
      <c r="AM181" s="175"/>
      <c r="AO181" s="125">
        <f t="shared" si="19"/>
        <v>714636</v>
      </c>
      <c r="AP181" s="169">
        <f>0.4%+0.12%</f>
        <v>0.0052</v>
      </c>
      <c r="AQ181" s="283">
        <f t="shared" si="20"/>
        <v>0</v>
      </c>
      <c r="AR181" s="223"/>
      <c r="AS181" s="223"/>
      <c r="AT181" s="223"/>
      <c r="AU181" s="223"/>
      <c r="AV181" s="223"/>
      <c r="AW181" s="223"/>
      <c r="AX181" s="223"/>
      <c r="AY181" s="223"/>
      <c r="AZ181" s="223"/>
      <c r="BB181" s="223"/>
      <c r="BG181" s="125">
        <v>714636</v>
      </c>
      <c r="CI181" s="125" t="s">
        <v>260</v>
      </c>
      <c r="CJ181" s="125" t="s">
        <v>271</v>
      </c>
      <c r="CK181" s="125" t="s">
        <v>261</v>
      </c>
    </row>
    <row r="182" s="125" customFormat="1" customHeight="1" spans="1:92">
      <c r="A182" s="174">
        <v>144</v>
      </c>
      <c r="C182" s="184">
        <v>45639</v>
      </c>
      <c r="D182" s="125">
        <v>20240007158</v>
      </c>
      <c r="E182" s="175" t="s">
        <v>4090</v>
      </c>
      <c r="F182" s="125" t="s">
        <v>4091</v>
      </c>
      <c r="G182" s="175" t="s">
        <v>4092</v>
      </c>
      <c r="I182" s="125" t="s">
        <v>4093</v>
      </c>
      <c r="J182" s="125">
        <v>86.14</v>
      </c>
      <c r="K182" s="125">
        <v>86.14</v>
      </c>
      <c r="L182" s="125">
        <f>M182/K182</f>
        <v>5500</v>
      </c>
      <c r="M182" s="282">
        <v>473770</v>
      </c>
      <c r="N182" s="223">
        <v>5367</v>
      </c>
      <c r="O182" s="165">
        <v>434651.38</v>
      </c>
      <c r="P182" s="1038" t="s">
        <v>4094</v>
      </c>
      <c r="Q182" s="210">
        <v>45838</v>
      </c>
      <c r="R182" s="223"/>
      <c r="S182" s="224"/>
      <c r="T182" s="174"/>
      <c r="U182" s="224"/>
      <c r="V182" s="223">
        <f>192133+204238+77399</f>
        <v>473770</v>
      </c>
      <c r="W182" s="224" t="s">
        <v>4095</v>
      </c>
      <c r="X182" s="223"/>
      <c r="Y182" s="210"/>
      <c r="AA182" s="171"/>
      <c r="AB182" s="223"/>
      <c r="AH182" s="223">
        <f t="shared" si="18"/>
        <v>473770</v>
      </c>
      <c r="AK182" s="171">
        <f t="shared" si="28"/>
        <v>0</v>
      </c>
      <c r="AM182" s="175"/>
      <c r="AO182" s="125">
        <f t="shared" si="19"/>
        <v>0</v>
      </c>
      <c r="AP182" s="169"/>
      <c r="AQ182" s="283">
        <f t="shared" si="20"/>
        <v>0</v>
      </c>
      <c r="AR182" s="223"/>
      <c r="AS182" s="223"/>
      <c r="AT182" s="223"/>
      <c r="AU182" s="223"/>
      <c r="AV182" s="223"/>
      <c r="AW182" s="223"/>
      <c r="AX182" s="223"/>
      <c r="AY182" s="223"/>
      <c r="AZ182" s="223"/>
      <c r="BB182" s="223"/>
      <c r="CI182" s="125" t="s">
        <v>260</v>
      </c>
      <c r="CK182" s="125" t="s">
        <v>261</v>
      </c>
    </row>
    <row r="183" s="125" customFormat="1" customHeight="1" spans="1:92">
      <c r="A183" s="174">
        <v>145</v>
      </c>
      <c r="C183" s="293">
        <v>45294</v>
      </c>
      <c r="D183" s="125">
        <v>20240000056</v>
      </c>
      <c r="F183" s="125" t="s">
        <v>4096</v>
      </c>
      <c r="G183" s="125" t="s">
        <v>4097</v>
      </c>
      <c r="H183" s="1037" t="s">
        <v>4098</v>
      </c>
      <c r="I183" s="125" t="s">
        <v>4099</v>
      </c>
      <c r="J183" s="125">
        <v>126.97</v>
      </c>
      <c r="K183" s="125">
        <v>126.97</v>
      </c>
      <c r="L183" s="125">
        <v>5444</v>
      </c>
      <c r="M183" s="282">
        <v>691225</v>
      </c>
      <c r="N183" s="223">
        <v>5344</v>
      </c>
      <c r="O183" s="165">
        <v>634151.38</v>
      </c>
      <c r="P183" s="1038" t="s">
        <v>4100</v>
      </c>
      <c r="Q183" s="210">
        <v>45838</v>
      </c>
      <c r="R183" s="223"/>
      <c r="S183" s="286"/>
      <c r="T183" s="1039" t="s">
        <v>4101</v>
      </c>
      <c r="U183" s="224" t="s">
        <v>284</v>
      </c>
      <c r="V183" s="223">
        <v>2000</v>
      </c>
      <c r="W183" s="286" t="s">
        <v>2713</v>
      </c>
      <c r="X183" s="223">
        <v>18000</v>
      </c>
      <c r="Y183" s="210" t="s">
        <v>514</v>
      </c>
      <c r="Z183" s="223">
        <f>60000+111225</f>
        <v>171225</v>
      </c>
      <c r="AA183" s="286" t="s">
        <v>3770</v>
      </c>
      <c r="AB183" s="223">
        <v>500000</v>
      </c>
      <c r="AC183" s="286" t="s">
        <v>3866</v>
      </c>
      <c r="AH183" s="223">
        <f t="shared" si="18"/>
        <v>691225</v>
      </c>
      <c r="AK183" s="171">
        <f t="shared" si="28"/>
        <v>0</v>
      </c>
      <c r="AL183" s="125">
        <v>19944270256</v>
      </c>
      <c r="AM183" s="175"/>
      <c r="AO183" s="125">
        <f t="shared" si="19"/>
        <v>691225</v>
      </c>
      <c r="AP183" s="169">
        <f>0.5%+0.02%+0.08%</f>
        <v>0.006</v>
      </c>
      <c r="AQ183" s="283">
        <f t="shared" si="20"/>
        <v>0</v>
      </c>
      <c r="AR183" s="223"/>
      <c r="AS183" s="223"/>
      <c r="AT183" s="223"/>
      <c r="AU183" s="223"/>
      <c r="AV183" s="223"/>
      <c r="AW183" s="223"/>
      <c r="AX183" s="223"/>
      <c r="AY183" s="223"/>
      <c r="AZ183" s="223"/>
      <c r="BB183" s="223"/>
      <c r="BE183" s="125">
        <v>191225</v>
      </c>
      <c r="BG183" s="125">
        <v>500000</v>
      </c>
      <c r="CI183" s="125" t="s">
        <v>260</v>
      </c>
      <c r="CJ183" s="125" t="s">
        <v>271</v>
      </c>
      <c r="CK183" s="125" t="s">
        <v>261</v>
      </c>
    </row>
    <row r="184" s="125" customFormat="1" customHeight="1" spans="1:92">
      <c r="A184" s="174">
        <v>146</v>
      </c>
      <c r="C184" s="184">
        <v>45395</v>
      </c>
      <c r="D184" s="125">
        <v>20240002044</v>
      </c>
      <c r="F184" s="1037" t="s">
        <v>4102</v>
      </c>
      <c r="G184" s="125" t="s">
        <v>4103</v>
      </c>
      <c r="H184" s="1037" t="s">
        <v>4104</v>
      </c>
      <c r="I184" s="125" t="s">
        <v>4105</v>
      </c>
      <c r="J184" s="125">
        <v>132.34</v>
      </c>
      <c r="K184" s="125">
        <v>132.34</v>
      </c>
      <c r="L184" s="125">
        <v>5380.08</v>
      </c>
      <c r="M184" s="282">
        <v>712000</v>
      </c>
      <c r="N184" s="223">
        <v>5362</v>
      </c>
      <c r="O184" s="165">
        <v>653211.01</v>
      </c>
      <c r="P184" s="1038" t="s">
        <v>4106</v>
      </c>
      <c r="Q184" s="210">
        <v>45838</v>
      </c>
      <c r="R184" s="223"/>
      <c r="S184" s="224"/>
      <c r="T184" s="174"/>
      <c r="U184" s="224" t="s">
        <v>267</v>
      </c>
      <c r="V184" s="223">
        <v>20000</v>
      </c>
      <c r="W184" s="224" t="s">
        <v>554</v>
      </c>
      <c r="X184" s="223">
        <v>692000</v>
      </c>
      <c r="Y184" s="210" t="s">
        <v>4107</v>
      </c>
      <c r="AA184" s="171"/>
      <c r="AB184" s="223"/>
      <c r="AH184" s="223">
        <f t="shared" si="18"/>
        <v>712000</v>
      </c>
      <c r="AK184" s="171">
        <f t="shared" si="28"/>
        <v>0</v>
      </c>
      <c r="AL184" s="125">
        <v>13119072854</v>
      </c>
      <c r="AM184" s="175"/>
      <c r="AO184" s="125">
        <f t="shared" si="19"/>
        <v>712000</v>
      </c>
      <c r="AP184" s="169">
        <f>0.6%+0.12%</f>
        <v>0.0072</v>
      </c>
      <c r="AQ184" s="283">
        <f t="shared" si="20"/>
        <v>0</v>
      </c>
      <c r="AR184" s="223"/>
      <c r="AS184" s="223"/>
      <c r="AT184" s="223"/>
      <c r="AU184" s="223"/>
      <c r="AV184" s="223"/>
      <c r="AW184" s="223"/>
      <c r="AX184" s="223"/>
      <c r="AY184" s="223"/>
      <c r="AZ184" s="223"/>
      <c r="BB184" s="223"/>
      <c r="BH184" s="125">
        <v>712000</v>
      </c>
      <c r="CI184" s="125" t="s">
        <v>260</v>
      </c>
      <c r="CJ184" s="125" t="s">
        <v>271</v>
      </c>
      <c r="CK184" s="125" t="s">
        <v>261</v>
      </c>
    </row>
    <row r="185" s="125" customFormat="1" customHeight="1" spans="1:92">
      <c r="A185" s="174">
        <v>147</v>
      </c>
      <c r="B185" s="125"/>
      <c r="C185" s="184">
        <v>45640</v>
      </c>
      <c r="D185" s="125">
        <v>20240007184</v>
      </c>
      <c r="F185" s="1037" t="s">
        <v>4108</v>
      </c>
      <c r="G185" s="125" t="s">
        <v>4109</v>
      </c>
      <c r="I185" s="125" t="s">
        <v>4110</v>
      </c>
      <c r="J185" s="125">
        <v>86.14</v>
      </c>
      <c r="K185" s="125">
        <v>86.14</v>
      </c>
      <c r="L185" s="125">
        <v>5275.86</v>
      </c>
      <c r="M185" s="282">
        <v>454463</v>
      </c>
      <c r="N185" s="223">
        <v>5382</v>
      </c>
      <c r="O185" s="165">
        <v>416938.53</v>
      </c>
      <c r="P185" s="1038" t="s">
        <v>4111</v>
      </c>
      <c r="Q185" s="210">
        <v>45838</v>
      </c>
      <c r="R185" s="223"/>
      <c r="S185" s="224"/>
      <c r="T185" s="174"/>
      <c r="U185" s="224" t="s">
        <v>257</v>
      </c>
      <c r="V185" s="223">
        <f>20000+10000</f>
        <v>30000</v>
      </c>
      <c r="W185" s="224" t="s">
        <v>2790</v>
      </c>
      <c r="X185" s="223">
        <v>64463</v>
      </c>
      <c r="Y185" s="210" t="s">
        <v>4112</v>
      </c>
      <c r="Z185" s="223">
        <v>360000</v>
      </c>
      <c r="AA185" s="224" t="s">
        <v>4113</v>
      </c>
      <c r="AB185" s="223"/>
      <c r="AH185" s="223">
        <f t="shared" si="18"/>
        <v>454463</v>
      </c>
      <c r="AK185" s="171">
        <f t="shared" si="28"/>
        <v>0</v>
      </c>
      <c r="AM185" s="175" t="s">
        <v>3284</v>
      </c>
      <c r="AO185" s="125">
        <f t="shared" si="19"/>
        <v>454463</v>
      </c>
      <c r="AP185" s="169">
        <f>0.5%+0.02%+0.12%+0.03%</f>
        <v>0.0067</v>
      </c>
      <c r="AQ185" s="283">
        <f t="shared" si="20"/>
        <v>0</v>
      </c>
      <c r="AR185" s="223"/>
      <c r="AS185" s="223"/>
      <c r="AT185" s="223"/>
      <c r="AU185" s="223"/>
      <c r="AV185" s="223"/>
      <c r="AW185" s="223"/>
      <c r="AX185" s="223"/>
      <c r="AY185" s="223"/>
      <c r="AZ185" s="223"/>
      <c r="BB185" s="223"/>
      <c r="BP185" s="125">
        <v>94463</v>
      </c>
      <c r="BQ185" s="125">
        <v>360000</v>
      </c>
      <c r="CI185" s="125" t="s">
        <v>260</v>
      </c>
      <c r="CK185" s="125" t="s">
        <v>261</v>
      </c>
    </row>
    <row r="186" s="125" customFormat="1" customHeight="1" spans="1:92">
      <c r="A186" s="174">
        <v>148</v>
      </c>
      <c r="C186" s="184">
        <v>45381</v>
      </c>
      <c r="D186" s="125">
        <v>20240001749</v>
      </c>
      <c r="F186" s="125" t="s">
        <v>4114</v>
      </c>
      <c r="G186" s="125" t="s">
        <v>4115</v>
      </c>
      <c r="H186" s="1037" t="s">
        <v>4116</v>
      </c>
      <c r="I186" s="125" t="s">
        <v>4117</v>
      </c>
      <c r="J186" s="125">
        <v>126.97</v>
      </c>
      <c r="K186" s="125">
        <v>126.97</v>
      </c>
      <c r="L186" s="125">
        <v>5423</v>
      </c>
      <c r="M186" s="282">
        <v>688663</v>
      </c>
      <c r="N186" s="223">
        <v>5372</v>
      </c>
      <c r="O186" s="165">
        <v>631800.92</v>
      </c>
      <c r="P186" s="1038" t="s">
        <v>4118</v>
      </c>
      <c r="Q186" s="210">
        <v>45845</v>
      </c>
      <c r="R186" s="223"/>
      <c r="S186" s="224"/>
      <c r="T186" s="174"/>
      <c r="U186" s="224" t="s">
        <v>2160</v>
      </c>
      <c r="V186" s="223">
        <v>10000</v>
      </c>
      <c r="W186" s="224" t="s">
        <v>3933</v>
      </c>
      <c r="X186" s="223">
        <v>128663</v>
      </c>
      <c r="Y186" s="210" t="s">
        <v>295</v>
      </c>
      <c r="Z186" s="223">
        <v>550000</v>
      </c>
      <c r="AA186" s="224" t="s">
        <v>427</v>
      </c>
      <c r="AB186" s="223"/>
      <c r="AH186" s="223">
        <f t="shared" si="18"/>
        <v>688663</v>
      </c>
      <c r="AK186" s="171">
        <f t="shared" si="28"/>
        <v>0</v>
      </c>
      <c r="AL186" s="125">
        <v>17604863423</v>
      </c>
      <c r="AM186" s="175"/>
      <c r="AO186" s="125">
        <f t="shared" si="19"/>
        <v>688663</v>
      </c>
      <c r="AP186" s="169">
        <f>0.5%+0.04%+0.12%</f>
        <v>0.0066</v>
      </c>
      <c r="AQ186" s="283">
        <f t="shared" si="20"/>
        <v>0</v>
      </c>
      <c r="AR186" s="223"/>
      <c r="AS186" s="223"/>
      <c r="AT186" s="223"/>
      <c r="AU186" s="223"/>
      <c r="AV186" s="223"/>
      <c r="AW186" s="223"/>
      <c r="AX186" s="223"/>
      <c r="AY186" s="223"/>
      <c r="AZ186" s="223"/>
      <c r="BB186" s="223"/>
      <c r="BG186" s="125">
        <v>138663</v>
      </c>
      <c r="BJ186" s="125">
        <v>550000</v>
      </c>
      <c r="CI186" s="125" t="s">
        <v>260</v>
      </c>
      <c r="CJ186" s="125" t="s">
        <v>271</v>
      </c>
      <c r="CK186" s="125" t="s">
        <v>261</v>
      </c>
      <c r="CN186" s="125">
        <f>CL186-CM186</f>
        <v>0</v>
      </c>
    </row>
    <row r="187" s="125" customFormat="1" customHeight="1" spans="1:92">
      <c r="A187" s="174">
        <v>149</v>
      </c>
      <c r="C187" s="184">
        <v>45300</v>
      </c>
      <c r="D187" s="125">
        <v>20240000205</v>
      </c>
      <c r="F187" s="1037" t="s">
        <v>4119</v>
      </c>
      <c r="G187" s="125" t="s">
        <v>3634</v>
      </c>
      <c r="H187" s="1037" t="s">
        <v>4120</v>
      </c>
      <c r="I187" s="125" t="s">
        <v>4121</v>
      </c>
      <c r="J187" s="125">
        <v>132.34</v>
      </c>
      <c r="K187" s="125">
        <v>132.34</v>
      </c>
      <c r="L187" s="125">
        <v>5487</v>
      </c>
      <c r="M187" s="282">
        <v>726150</v>
      </c>
      <c r="N187" s="223">
        <v>5387</v>
      </c>
      <c r="O187" s="165">
        <v>666192.66</v>
      </c>
      <c r="P187" s="1038" t="s">
        <v>4122</v>
      </c>
      <c r="Q187" s="210">
        <v>45845</v>
      </c>
      <c r="R187" s="223"/>
      <c r="S187" s="224"/>
      <c r="T187" s="174"/>
      <c r="U187" s="224" t="s">
        <v>546</v>
      </c>
      <c r="V187" s="223">
        <v>20000</v>
      </c>
      <c r="W187" s="224" t="s">
        <v>610</v>
      </c>
      <c r="X187" s="223">
        <v>706150</v>
      </c>
      <c r="Y187" s="210" t="s">
        <v>624</v>
      </c>
      <c r="AA187" s="171"/>
      <c r="AB187" s="223"/>
      <c r="AH187" s="223">
        <f t="shared" si="18"/>
        <v>726150</v>
      </c>
      <c r="AK187" s="171">
        <f t="shared" si="28"/>
        <v>0</v>
      </c>
      <c r="AL187" s="125">
        <v>18599361936</v>
      </c>
      <c r="AM187" s="175"/>
      <c r="AO187" s="125">
        <f t="shared" si="19"/>
        <v>726150</v>
      </c>
      <c r="AP187" s="169">
        <f>0.7%+0.12%</f>
        <v>0.0082</v>
      </c>
      <c r="AQ187" s="283">
        <f t="shared" si="20"/>
        <v>0</v>
      </c>
      <c r="AR187" s="223"/>
      <c r="AS187" s="223"/>
      <c r="AT187" s="223"/>
      <c r="AU187" s="223"/>
      <c r="AV187" s="223"/>
      <c r="AW187" s="223"/>
      <c r="AX187" s="223"/>
      <c r="AY187" s="223"/>
      <c r="AZ187" s="223"/>
      <c r="BB187" s="223"/>
      <c r="BE187" s="125">
        <v>726150</v>
      </c>
      <c r="CI187" s="125" t="s">
        <v>260</v>
      </c>
      <c r="CJ187" s="125" t="s">
        <v>271</v>
      </c>
      <c r="CK187" s="125" t="s">
        <v>261</v>
      </c>
    </row>
    <row r="188" s="125" customFormat="1" customHeight="1" spans="1:92">
      <c r="A188" s="174">
        <v>150</v>
      </c>
      <c r="B188" s="125"/>
      <c r="C188" s="184">
        <v>45778</v>
      </c>
      <c r="D188" s="125">
        <v>20250002344</v>
      </c>
      <c r="F188" s="1037" t="s">
        <v>4123</v>
      </c>
      <c r="G188" s="125" t="s">
        <v>4124</v>
      </c>
      <c r="I188" s="125" t="s">
        <v>4125</v>
      </c>
      <c r="J188" s="125">
        <v>86.14</v>
      </c>
      <c r="K188" s="125">
        <v>86.14</v>
      </c>
      <c r="L188" s="125">
        <v>5374.97</v>
      </c>
      <c r="M188" s="282">
        <v>463000</v>
      </c>
      <c r="N188" s="223">
        <v>5374.97</v>
      </c>
      <c r="O188" s="165">
        <v>424770.64</v>
      </c>
      <c r="P188" s="295" t="s">
        <v>4126</v>
      </c>
      <c r="Q188" s="210">
        <v>45800</v>
      </c>
      <c r="R188" s="223"/>
      <c r="S188" s="224"/>
      <c r="T188" s="174"/>
      <c r="U188" s="224" t="s">
        <v>690</v>
      </c>
      <c r="V188" s="223">
        <v>5000</v>
      </c>
      <c r="W188" s="224" t="s">
        <v>4127</v>
      </c>
      <c r="X188" s="223">
        <v>10000</v>
      </c>
      <c r="Y188" s="210" t="s">
        <v>4128</v>
      </c>
      <c r="Z188" s="125">
        <v>55000</v>
      </c>
      <c r="AA188" s="171" t="s">
        <v>4129</v>
      </c>
      <c r="AB188" s="223">
        <v>393000</v>
      </c>
      <c r="AC188" s="224" t="s">
        <v>3343</v>
      </c>
      <c r="AH188" s="223">
        <f t="shared" si="18"/>
        <v>463000</v>
      </c>
      <c r="AK188" s="171">
        <f t="shared" si="28"/>
        <v>0</v>
      </c>
      <c r="AL188" s="125">
        <v>13072010331</v>
      </c>
      <c r="AM188" s="175" t="s">
        <v>3522</v>
      </c>
      <c r="AO188" s="125">
        <f t="shared" si="19"/>
        <v>463000</v>
      </c>
      <c r="AP188" s="169">
        <f>0.4%+0.08%+0.03%</f>
        <v>0.0051</v>
      </c>
      <c r="AQ188" s="283">
        <f t="shared" si="20"/>
        <v>0</v>
      </c>
      <c r="AR188" s="223"/>
      <c r="AS188" s="223"/>
      <c r="AT188" s="223"/>
      <c r="AU188" s="223"/>
      <c r="AV188" s="223"/>
      <c r="AW188" s="223"/>
      <c r="AX188" s="223"/>
      <c r="AY188" s="223"/>
      <c r="AZ188" s="223"/>
      <c r="BB188" s="223"/>
      <c r="BU188" s="125">
        <v>463000</v>
      </c>
      <c r="CI188" s="125" t="s">
        <v>260</v>
      </c>
      <c r="CK188" s="125" t="s">
        <v>261</v>
      </c>
    </row>
    <row r="189" s="125" customFormat="1" customHeight="1" spans="1:92">
      <c r="A189" s="174">
        <v>151</v>
      </c>
      <c r="C189" s="184">
        <v>45383</v>
      </c>
      <c r="D189" s="125">
        <v>20240001791</v>
      </c>
      <c r="F189" s="1037" t="s">
        <v>4130</v>
      </c>
      <c r="G189" s="125" t="s">
        <v>4131</v>
      </c>
      <c r="H189" s="1037" t="s">
        <v>4132</v>
      </c>
      <c r="I189" s="125" t="s">
        <v>4133</v>
      </c>
      <c r="J189" s="125">
        <v>126.97</v>
      </c>
      <c r="K189" s="125">
        <v>126.97</v>
      </c>
      <c r="L189" s="125">
        <v>5497</v>
      </c>
      <c r="M189" s="282">
        <v>698000</v>
      </c>
      <c r="N189" s="223">
        <v>5397</v>
      </c>
      <c r="O189" s="165">
        <v>640366.97</v>
      </c>
      <c r="P189" s="1038" t="s">
        <v>4134</v>
      </c>
      <c r="Q189" s="210">
        <v>45845</v>
      </c>
      <c r="R189" s="223"/>
      <c r="S189" s="224"/>
      <c r="T189" s="174"/>
      <c r="U189" s="224" t="s">
        <v>277</v>
      </c>
      <c r="V189" s="223">
        <v>20000</v>
      </c>
      <c r="W189" s="224" t="s">
        <v>554</v>
      </c>
      <c r="X189" s="223">
        <v>120000</v>
      </c>
      <c r="Y189" s="210" t="s">
        <v>554</v>
      </c>
      <c r="Z189" s="125">
        <v>558000</v>
      </c>
      <c r="AA189" s="171" t="s">
        <v>3689</v>
      </c>
      <c r="AB189" s="223"/>
      <c r="AH189" s="223">
        <f t="shared" si="18"/>
        <v>698000</v>
      </c>
      <c r="AK189" s="171">
        <f t="shared" si="28"/>
        <v>0</v>
      </c>
      <c r="AL189" s="125">
        <v>18510342124</v>
      </c>
      <c r="AM189" s="175"/>
      <c r="AO189" s="125">
        <f t="shared" si="19"/>
        <v>698000</v>
      </c>
      <c r="AP189" s="169">
        <f>0.7%+0.05%+0.12%</f>
        <v>0.0087</v>
      </c>
      <c r="AQ189" s="283">
        <f t="shared" si="20"/>
        <v>0</v>
      </c>
      <c r="AR189" s="223"/>
      <c r="AS189" s="223"/>
      <c r="AT189" s="223"/>
      <c r="AU189" s="223"/>
      <c r="AV189" s="223"/>
      <c r="AW189" s="223"/>
      <c r="AX189" s="223"/>
      <c r="AY189" s="223"/>
      <c r="AZ189" s="223"/>
      <c r="BB189" s="223"/>
      <c r="BH189" s="125">
        <v>698000</v>
      </c>
      <c r="CI189" s="125" t="s">
        <v>260</v>
      </c>
      <c r="CJ189" s="125" t="s">
        <v>271</v>
      </c>
      <c r="CK189" s="125" t="s">
        <v>261</v>
      </c>
    </row>
    <row r="190" s="125" customFormat="1" ht="30" customHeight="1" spans="1:92">
      <c r="A190" s="174">
        <v>152</v>
      </c>
      <c r="C190" s="184">
        <v>45569</v>
      </c>
      <c r="D190" s="125">
        <v>20240005820</v>
      </c>
      <c r="F190" s="1037" t="s">
        <v>4135</v>
      </c>
      <c r="G190" s="175" t="s">
        <v>4136</v>
      </c>
      <c r="H190" s="1040" t="s">
        <v>4137</v>
      </c>
      <c r="I190" s="125" t="s">
        <v>4138</v>
      </c>
      <c r="J190" s="125">
        <v>132.34</v>
      </c>
      <c r="K190" s="125">
        <v>132.34</v>
      </c>
      <c r="L190" s="171">
        <f>M190/K190</f>
        <v>5402.75049115913</v>
      </c>
      <c r="M190" s="282">
        <v>715000</v>
      </c>
      <c r="N190" s="223">
        <v>5402.75</v>
      </c>
      <c r="O190" s="165">
        <v>655963.3</v>
      </c>
      <c r="P190" s="1038" t="s">
        <v>4139</v>
      </c>
      <c r="Q190" s="210">
        <v>45845</v>
      </c>
      <c r="R190" s="223"/>
      <c r="S190" s="286"/>
      <c r="T190" s="292"/>
      <c r="U190" s="224" t="s">
        <v>277</v>
      </c>
      <c r="V190" s="223">
        <v>20000</v>
      </c>
      <c r="W190" s="286" t="s">
        <v>3272</v>
      </c>
      <c r="X190" s="223">
        <v>113000</v>
      </c>
      <c r="Y190" s="286" t="s">
        <v>497</v>
      </c>
      <c r="Z190" s="223">
        <v>572000</v>
      </c>
      <c r="AA190" s="286" t="s">
        <v>391</v>
      </c>
      <c r="AB190" s="223">
        <v>10000</v>
      </c>
      <c r="AC190" s="286" t="s">
        <v>505</v>
      </c>
      <c r="AH190" s="223">
        <f t="shared" si="18"/>
        <v>715000</v>
      </c>
      <c r="AK190" s="171">
        <f t="shared" si="28"/>
        <v>0</v>
      </c>
      <c r="AL190" s="125">
        <v>15090288289</v>
      </c>
      <c r="AM190" s="175"/>
      <c r="AN190" s="287"/>
      <c r="AO190" s="125">
        <f t="shared" si="19"/>
        <v>715000</v>
      </c>
      <c r="AP190" s="169">
        <f>0.4%+0.02%+0.08%</f>
        <v>0.005</v>
      </c>
      <c r="AQ190" s="283">
        <f t="shared" si="20"/>
        <v>0</v>
      </c>
      <c r="AR190" s="223"/>
      <c r="AS190" s="223"/>
      <c r="AT190" s="223"/>
      <c r="AU190" s="223"/>
      <c r="AV190" s="223"/>
      <c r="AW190" s="223"/>
      <c r="AX190" s="223"/>
      <c r="AY190" s="223"/>
      <c r="AZ190" s="223"/>
      <c r="BB190" s="223"/>
      <c r="BQ190" s="125">
        <v>715000</v>
      </c>
      <c r="CI190" s="125" t="s">
        <v>260</v>
      </c>
      <c r="CK190" s="125" t="s">
        <v>261</v>
      </c>
    </row>
    <row r="191" s="101" customFormat="1" ht="55" customHeight="1" spans="1:92">
      <c r="A191" s="238">
        <v>153</v>
      </c>
      <c r="C191" s="244"/>
      <c r="E191" s="101" t="s">
        <v>3903</v>
      </c>
      <c r="G191" s="244"/>
      <c r="H191" s="244"/>
      <c r="I191" s="101" t="s">
        <v>4140</v>
      </c>
      <c r="J191" s="101">
        <v>86.14</v>
      </c>
      <c r="M191" s="239"/>
      <c r="N191" s="242">
        <v>5412</v>
      </c>
      <c r="O191" s="157"/>
      <c r="P191" s="238"/>
      <c r="Q191" s="241"/>
      <c r="R191" s="242"/>
      <c r="S191" s="297"/>
      <c r="T191" s="298"/>
      <c r="U191" s="224"/>
      <c r="V191" s="242"/>
      <c r="W191" s="297"/>
      <c r="X191" s="242"/>
      <c r="Y191" s="205"/>
      <c r="AA191" s="205"/>
      <c r="AB191" s="242"/>
      <c r="AH191" s="242">
        <f t="shared" si="18"/>
        <v>0</v>
      </c>
      <c r="AK191" s="205"/>
      <c r="AM191" s="244"/>
      <c r="AN191" s="275"/>
      <c r="AO191" s="101">
        <f t="shared" si="19"/>
        <v>0</v>
      </c>
      <c r="AP191" s="158"/>
      <c r="AQ191" s="277">
        <f t="shared" si="20"/>
        <v>0</v>
      </c>
      <c r="AR191" s="242"/>
      <c r="AS191" s="242"/>
      <c r="AT191" s="242"/>
      <c r="AU191" s="242"/>
      <c r="AV191" s="242"/>
      <c r="AW191" s="242"/>
      <c r="AX191" s="242"/>
      <c r="AY191" s="242"/>
      <c r="AZ191" s="242"/>
      <c r="BA191" s="299"/>
      <c r="BB191" s="242"/>
      <c r="BC191" s="299"/>
    </row>
    <row r="192" s="125" customFormat="1" customHeight="1" spans="1:92">
      <c r="A192" s="174">
        <v>154</v>
      </c>
      <c r="C192" s="184">
        <v>45417</v>
      </c>
      <c r="D192" s="125">
        <v>20240002564</v>
      </c>
      <c r="F192" s="1037" t="s">
        <v>4141</v>
      </c>
      <c r="G192" s="125" t="s">
        <v>4142</v>
      </c>
      <c r="H192" s="1037" t="s">
        <v>4143</v>
      </c>
      <c r="I192" s="125" t="s">
        <v>4144</v>
      </c>
      <c r="J192" s="125">
        <v>126.97</v>
      </c>
      <c r="K192" s="125">
        <v>126.97</v>
      </c>
      <c r="L192" s="125">
        <v>5434.35</v>
      </c>
      <c r="M192" s="282">
        <v>690000</v>
      </c>
      <c r="N192" s="223">
        <v>5417</v>
      </c>
      <c r="O192" s="165">
        <v>633027.52</v>
      </c>
      <c r="P192" s="1038" t="s">
        <v>4145</v>
      </c>
      <c r="Q192" s="210">
        <v>45845</v>
      </c>
      <c r="R192" s="223"/>
      <c r="T192" s="174"/>
      <c r="U192" s="224" t="s">
        <v>546</v>
      </c>
      <c r="V192" s="223">
        <v>20000</v>
      </c>
      <c r="W192" s="125" t="s">
        <v>708</v>
      </c>
      <c r="X192" s="223">
        <v>44000</v>
      </c>
      <c r="Y192" s="171" t="s">
        <v>965</v>
      </c>
      <c r="Z192" s="223">
        <v>74000</v>
      </c>
      <c r="AA192" s="125" t="s">
        <v>3676</v>
      </c>
      <c r="AB192" s="223">
        <v>552000</v>
      </c>
      <c r="AC192" s="125" t="s">
        <v>289</v>
      </c>
      <c r="AH192" s="223">
        <f t="shared" si="18"/>
        <v>690000</v>
      </c>
      <c r="AK192" s="171">
        <f t="shared" ref="AK192:AK198" si="29">M192-AH192</f>
        <v>0</v>
      </c>
      <c r="AL192" s="125">
        <v>18149847557</v>
      </c>
      <c r="AM192" s="175"/>
      <c r="AN192" s="287"/>
      <c r="AO192" s="125">
        <f t="shared" si="19"/>
        <v>690000</v>
      </c>
      <c r="AP192" s="166">
        <f>0.7%+0.08%</f>
        <v>0.0078</v>
      </c>
      <c r="AQ192" s="283">
        <f t="shared" si="20"/>
        <v>0</v>
      </c>
      <c r="AR192" s="223"/>
      <c r="AS192" s="223"/>
      <c r="AT192" s="223"/>
      <c r="AU192" s="223"/>
      <c r="AV192" s="223"/>
      <c r="AW192" s="223"/>
      <c r="AX192" s="223"/>
      <c r="AY192" s="223"/>
      <c r="AZ192" s="223"/>
      <c r="BA192" s="300"/>
      <c r="BB192" s="223"/>
      <c r="BC192" s="300"/>
      <c r="BJ192" s="125">
        <v>138000</v>
      </c>
      <c r="BK192" s="125">
        <v>552000</v>
      </c>
      <c r="CI192" s="125" t="s">
        <v>260</v>
      </c>
      <c r="CJ192" s="125" t="s">
        <v>271</v>
      </c>
      <c r="CK192" s="125" t="s">
        <v>261</v>
      </c>
    </row>
    <row r="193" s="125" customFormat="1" customHeight="1" spans="1:92">
      <c r="A193" s="174">
        <v>155</v>
      </c>
      <c r="C193" s="184">
        <v>45434</v>
      </c>
      <c r="D193" s="125">
        <v>20240003053</v>
      </c>
      <c r="F193" s="1037" t="s">
        <v>4146</v>
      </c>
      <c r="G193" s="125" t="s">
        <v>4147</v>
      </c>
      <c r="H193" s="1037" t="s">
        <v>4148</v>
      </c>
      <c r="I193" s="125" t="s">
        <v>4149</v>
      </c>
      <c r="J193" s="125">
        <v>132.34</v>
      </c>
      <c r="K193" s="125">
        <v>132.34</v>
      </c>
      <c r="L193" s="125">
        <v>5213.84</v>
      </c>
      <c r="M193" s="282">
        <v>690000</v>
      </c>
      <c r="N193" s="223">
        <v>5213.84</v>
      </c>
      <c r="O193" s="165">
        <v>633027.52</v>
      </c>
      <c r="P193" s="1038" t="s">
        <v>4150</v>
      </c>
      <c r="Q193" s="210">
        <v>45845</v>
      </c>
      <c r="R193" s="223"/>
      <c r="S193" s="224"/>
      <c r="T193" s="174"/>
      <c r="U193" s="224" t="s">
        <v>2160</v>
      </c>
      <c r="V193" s="223">
        <v>20000</v>
      </c>
      <c r="W193" s="224" t="s">
        <v>270</v>
      </c>
      <c r="X193" s="223">
        <v>80000</v>
      </c>
      <c r="Y193" s="171" t="s">
        <v>439</v>
      </c>
      <c r="Z193" s="223">
        <v>40000</v>
      </c>
      <c r="AA193" s="224" t="s">
        <v>4151</v>
      </c>
      <c r="AB193" s="223">
        <v>550000</v>
      </c>
      <c r="AC193" s="224">
        <v>45548</v>
      </c>
      <c r="AH193" s="223">
        <f t="shared" si="18"/>
        <v>690000</v>
      </c>
      <c r="AK193" s="171">
        <f t="shared" si="29"/>
        <v>0</v>
      </c>
      <c r="AL193" s="125">
        <v>15559346699</v>
      </c>
      <c r="AM193" s="175" t="s">
        <v>3839</v>
      </c>
      <c r="AN193" s="287"/>
      <c r="AO193" s="125">
        <f t="shared" si="19"/>
        <v>690000</v>
      </c>
      <c r="AP193" s="166">
        <f>0.5%+0.02%+0.08%</f>
        <v>0.006</v>
      </c>
      <c r="AQ193" s="283">
        <f t="shared" si="20"/>
        <v>0</v>
      </c>
      <c r="AR193" s="223"/>
      <c r="AS193" s="223"/>
      <c r="AT193" s="223"/>
      <c r="AU193" s="223"/>
      <c r="AV193" s="223"/>
      <c r="AW193" s="223"/>
      <c r="AX193" s="223"/>
      <c r="AY193" s="223"/>
      <c r="AZ193" s="223"/>
      <c r="BA193" s="300"/>
      <c r="BB193" s="223"/>
      <c r="BC193" s="300"/>
      <c r="BL193" s="125">
        <v>140000</v>
      </c>
      <c r="BM193" s="125">
        <v>550000</v>
      </c>
      <c r="CI193" s="125" t="s">
        <v>260</v>
      </c>
      <c r="CJ193" s="125" t="s">
        <v>271</v>
      </c>
      <c r="CK193" s="125" t="s">
        <v>261</v>
      </c>
    </row>
    <row r="194" s="154" customFormat="1" customHeight="1" spans="1:92">
      <c r="A194" s="301">
        <v>156</v>
      </c>
      <c r="C194" s="302">
        <v>46006</v>
      </c>
      <c r="D194" s="125">
        <v>20250006428</v>
      </c>
      <c r="E194" s="154" t="s">
        <v>4152</v>
      </c>
      <c r="F194" s="154" t="s">
        <v>3904</v>
      </c>
      <c r="G194" s="154" t="s">
        <v>4153</v>
      </c>
      <c r="I194" s="154" t="s">
        <v>4154</v>
      </c>
      <c r="J194" s="154">
        <v>86.14</v>
      </c>
      <c r="K194" s="154">
        <v>86.14</v>
      </c>
      <c r="L194" s="154">
        <v>5768.09</v>
      </c>
      <c r="M194" s="303">
        <v>496863</v>
      </c>
      <c r="N194" s="304">
        <v>5422</v>
      </c>
      <c r="O194" s="183">
        <v>455837.61</v>
      </c>
      <c r="P194" s="1041" t="s">
        <v>4155</v>
      </c>
      <c r="Q194" s="305">
        <v>46006</v>
      </c>
      <c r="R194" s="304"/>
      <c r="S194" s="179"/>
      <c r="T194" s="301"/>
      <c r="U194" s="306"/>
      <c r="V194" s="304">
        <v>496863</v>
      </c>
      <c r="W194" s="179">
        <v>46006</v>
      </c>
      <c r="X194" s="304"/>
      <c r="Y194" s="307"/>
      <c r="AA194" s="307"/>
      <c r="AB194" s="304"/>
      <c r="AH194" s="304">
        <f t="shared" si="18"/>
        <v>496863</v>
      </c>
      <c r="AK194" s="171">
        <f t="shared" si="29"/>
        <v>0</v>
      </c>
      <c r="AM194" s="189"/>
      <c r="AN194" s="308"/>
      <c r="AO194" s="154">
        <f t="shared" si="19"/>
        <v>0</v>
      </c>
      <c r="AP194" s="309"/>
      <c r="AQ194" s="310">
        <f t="shared" si="20"/>
        <v>0</v>
      </c>
      <c r="AR194" s="304"/>
      <c r="AS194" s="304"/>
      <c r="AT194" s="304"/>
      <c r="AU194" s="304"/>
      <c r="AV194" s="304"/>
      <c r="AW194" s="304"/>
      <c r="AX194" s="304"/>
      <c r="AY194" s="304"/>
      <c r="AZ194" s="304"/>
      <c r="BA194" s="311"/>
      <c r="BB194" s="304"/>
      <c r="BC194" s="311"/>
      <c r="CI194" s="125" t="s">
        <v>3258</v>
      </c>
      <c r="CK194" s="154" t="s">
        <v>3656</v>
      </c>
    </row>
    <row r="195" s="125" customFormat="1" customHeight="1" spans="1:92">
      <c r="A195" s="174">
        <v>157</v>
      </c>
      <c r="C195" s="184">
        <v>45397</v>
      </c>
      <c r="D195" s="125">
        <v>20240002075</v>
      </c>
      <c r="F195" s="1037" t="s">
        <v>4156</v>
      </c>
      <c r="G195" s="175" t="s">
        <v>4157</v>
      </c>
      <c r="H195" s="1040" t="s">
        <v>4158</v>
      </c>
      <c r="I195" s="125" t="s">
        <v>4159</v>
      </c>
      <c r="J195" s="125">
        <v>126.97</v>
      </c>
      <c r="K195" s="125">
        <v>126.97</v>
      </c>
      <c r="L195" s="171">
        <v>5538</v>
      </c>
      <c r="M195" s="282">
        <v>703160</v>
      </c>
      <c r="N195" s="223">
        <v>5438</v>
      </c>
      <c r="O195" s="165">
        <v>645100.92</v>
      </c>
      <c r="P195" s="1038" t="s">
        <v>4160</v>
      </c>
      <c r="Q195" s="210">
        <v>45845</v>
      </c>
      <c r="R195" s="223"/>
      <c r="S195" s="286"/>
      <c r="T195" s="292"/>
      <c r="U195" s="224" t="s">
        <v>2160</v>
      </c>
      <c r="V195" s="223">
        <v>10000</v>
      </c>
      <c r="W195" s="286" t="s">
        <v>1242</v>
      </c>
      <c r="X195" s="223">
        <v>83160</v>
      </c>
      <c r="Y195" s="171" t="s">
        <v>438</v>
      </c>
      <c r="Z195" s="125">
        <v>50000</v>
      </c>
      <c r="AA195" s="171" t="s">
        <v>4010</v>
      </c>
      <c r="AB195" s="223">
        <v>560000</v>
      </c>
      <c r="AC195" s="286" t="s">
        <v>457</v>
      </c>
      <c r="AH195" s="223">
        <f t="shared" si="18"/>
        <v>703160</v>
      </c>
      <c r="AK195" s="171">
        <f t="shared" si="29"/>
        <v>0</v>
      </c>
      <c r="AL195" s="125">
        <v>17690928304</v>
      </c>
      <c r="AM195" s="175"/>
      <c r="AN195" s="287"/>
      <c r="AO195" s="125">
        <f t="shared" si="19"/>
        <v>703160</v>
      </c>
      <c r="AP195" s="166">
        <f>0.4%+0.03%+0.12%</f>
        <v>0.0055</v>
      </c>
      <c r="AQ195" s="283">
        <f t="shared" si="20"/>
        <v>0</v>
      </c>
      <c r="AR195" s="223"/>
      <c r="AS195" s="223"/>
      <c r="AT195" s="223"/>
      <c r="AU195" s="223"/>
      <c r="AV195" s="223"/>
      <c r="AW195" s="223"/>
      <c r="AX195" s="223"/>
      <c r="AY195" s="223"/>
      <c r="AZ195" s="223"/>
      <c r="BA195" s="300"/>
      <c r="BB195" s="223"/>
      <c r="BC195" s="300"/>
      <c r="BH195" s="125">
        <v>143160</v>
      </c>
      <c r="BI195" s="125">
        <v>560000</v>
      </c>
      <c r="CI195" s="125" t="s">
        <v>260</v>
      </c>
      <c r="CJ195" s="125" t="s">
        <v>271</v>
      </c>
      <c r="CK195" s="125" t="s">
        <v>261</v>
      </c>
    </row>
    <row r="196" s="125" customFormat="1" customHeight="1" spans="1:92">
      <c r="A196" s="174">
        <v>158</v>
      </c>
      <c r="C196" s="184">
        <v>45469</v>
      </c>
      <c r="D196" s="125">
        <v>20240003675</v>
      </c>
      <c r="F196" s="1037" t="s">
        <v>4161</v>
      </c>
      <c r="G196" s="125" t="s">
        <v>4162</v>
      </c>
      <c r="I196" s="125" t="s">
        <v>4163</v>
      </c>
      <c r="J196" s="125">
        <v>132.34</v>
      </c>
      <c r="K196" s="125">
        <v>132.34</v>
      </c>
      <c r="L196" s="125">
        <f>M196/K196</f>
        <v>5097.99758198579</v>
      </c>
      <c r="M196" s="282">
        <v>674669</v>
      </c>
      <c r="N196" s="223">
        <v>4998</v>
      </c>
      <c r="O196" s="165">
        <v>618962.39</v>
      </c>
      <c r="P196" s="1038" t="s">
        <v>4164</v>
      </c>
      <c r="Q196" s="210">
        <v>45845</v>
      </c>
      <c r="R196" s="223"/>
      <c r="T196" s="174"/>
      <c r="U196" s="224" t="s">
        <v>284</v>
      </c>
      <c r="V196" s="223">
        <v>16669</v>
      </c>
      <c r="W196" s="125" t="s">
        <v>4165</v>
      </c>
      <c r="X196" s="223">
        <v>20000</v>
      </c>
      <c r="Y196" s="286" t="s">
        <v>527</v>
      </c>
      <c r="Z196" s="223">
        <v>65000</v>
      </c>
      <c r="AA196" s="125" t="s">
        <v>636</v>
      </c>
      <c r="AB196" s="223">
        <v>573000</v>
      </c>
      <c r="AC196" s="125" t="s">
        <v>3967</v>
      </c>
      <c r="AH196" s="223">
        <f t="shared" si="18"/>
        <v>674669</v>
      </c>
      <c r="AK196" s="171">
        <f t="shared" si="29"/>
        <v>0</v>
      </c>
      <c r="AL196" s="295" t="s">
        <v>4166</v>
      </c>
      <c r="AM196" s="175"/>
      <c r="AN196" s="287"/>
      <c r="AO196" s="125">
        <f t="shared" si="19"/>
        <v>674669</v>
      </c>
      <c r="AP196" s="166">
        <f>0.7%+0.04%+0.12%</f>
        <v>0.0086</v>
      </c>
      <c r="AQ196" s="283">
        <f t="shared" si="20"/>
        <v>0</v>
      </c>
      <c r="AR196" s="223"/>
      <c r="AS196" s="223"/>
      <c r="AT196" s="223"/>
      <c r="AU196" s="223"/>
      <c r="AV196" s="223"/>
      <c r="AW196" s="223"/>
      <c r="AX196" s="223"/>
      <c r="AY196" s="223"/>
      <c r="AZ196" s="223"/>
      <c r="BA196" s="300"/>
      <c r="BB196" s="223"/>
      <c r="BC196" s="300"/>
      <c r="BK196" s="125">
        <v>674669</v>
      </c>
      <c r="CI196" s="125" t="s">
        <v>260</v>
      </c>
      <c r="CJ196" s="125" t="s">
        <v>271</v>
      </c>
      <c r="CK196" s="125" t="s">
        <v>261</v>
      </c>
    </row>
    <row r="197" s="101" customFormat="1" customHeight="1" spans="1:92">
      <c r="A197" s="238">
        <v>159</v>
      </c>
      <c r="C197" s="244"/>
      <c r="E197" s="101" t="s">
        <v>4167</v>
      </c>
      <c r="G197" s="244"/>
      <c r="H197" s="244"/>
      <c r="I197" s="101" t="s">
        <v>4168</v>
      </c>
      <c r="J197" s="101">
        <v>86.14</v>
      </c>
      <c r="M197" s="239"/>
      <c r="N197" s="242">
        <v>5018</v>
      </c>
      <c r="O197" s="157"/>
      <c r="P197" s="275"/>
      <c r="Q197" s="241"/>
      <c r="R197" s="242"/>
      <c r="S197" s="297"/>
      <c r="T197" s="298"/>
      <c r="U197" s="224"/>
      <c r="V197" s="242"/>
      <c r="W197" s="312"/>
      <c r="X197" s="242"/>
      <c r="Y197" s="205"/>
      <c r="AA197" s="205"/>
      <c r="AB197" s="242"/>
      <c r="AH197" s="242">
        <f t="shared" si="18"/>
        <v>0</v>
      </c>
      <c r="AK197" s="171">
        <f t="shared" si="29"/>
        <v>0</v>
      </c>
      <c r="AM197" s="244"/>
      <c r="AN197" s="275"/>
      <c r="AO197" s="101">
        <f t="shared" si="19"/>
        <v>0</v>
      </c>
      <c r="AP197" s="158"/>
      <c r="AQ197" s="277">
        <f t="shared" si="20"/>
        <v>0</v>
      </c>
      <c r="AR197" s="242"/>
      <c r="AS197" s="242"/>
      <c r="AT197" s="242"/>
      <c r="AU197" s="242"/>
      <c r="AV197" s="242"/>
      <c r="AW197" s="242"/>
      <c r="AX197" s="242"/>
      <c r="AY197" s="242"/>
      <c r="AZ197" s="242"/>
      <c r="BA197" s="299"/>
      <c r="BB197" s="242"/>
      <c r="BC197" s="299"/>
    </row>
    <row r="198" s="125" customFormat="1" customHeight="1" spans="1:92">
      <c r="A198" s="174">
        <v>160</v>
      </c>
      <c r="B198" s="125"/>
      <c r="C198" s="184">
        <v>45987</v>
      </c>
      <c r="D198" s="125">
        <v>20250006031</v>
      </c>
      <c r="F198" s="1037" t="s">
        <v>4169</v>
      </c>
      <c r="G198" s="175" t="s">
        <v>4170</v>
      </c>
      <c r="H198" s="1040" t="s">
        <v>4171</v>
      </c>
      <c r="I198" s="125" t="s">
        <v>4172</v>
      </c>
      <c r="J198" s="125">
        <v>126.97</v>
      </c>
      <c r="K198" s="125">
        <v>126.97</v>
      </c>
      <c r="L198" s="125">
        <v>4300</v>
      </c>
      <c r="M198" s="282">
        <v>545971</v>
      </c>
      <c r="N198" s="223">
        <f>4358-300</f>
        <v>4058</v>
      </c>
      <c r="O198" s="165">
        <v>500890.83</v>
      </c>
      <c r="P198" s="1038" t="s">
        <v>4173</v>
      </c>
      <c r="Q198" s="210">
        <v>45989</v>
      </c>
      <c r="R198" s="223"/>
      <c r="S198" s="286"/>
      <c r="T198" s="292"/>
      <c r="U198" s="224" t="s">
        <v>690</v>
      </c>
      <c r="V198" s="223">
        <v>20000</v>
      </c>
      <c r="W198" s="286">
        <v>45977</v>
      </c>
      <c r="X198" s="223">
        <v>225971</v>
      </c>
      <c r="Y198" s="286">
        <v>45987</v>
      </c>
      <c r="Z198" s="223">
        <v>300000</v>
      </c>
      <c r="AA198" s="286">
        <v>46002</v>
      </c>
      <c r="AB198" s="223"/>
      <c r="AH198" s="223">
        <f t="shared" si="18"/>
        <v>545971</v>
      </c>
      <c r="AK198" s="171">
        <f t="shared" si="29"/>
        <v>0</v>
      </c>
      <c r="AL198" s="125">
        <v>13565011898</v>
      </c>
      <c r="AM198" s="175" t="s">
        <v>3362</v>
      </c>
      <c r="AN198" s="287"/>
      <c r="AO198" s="125">
        <f t="shared" si="19"/>
        <v>545971</v>
      </c>
      <c r="AP198" s="166">
        <f>0.7%+0.08%+0.03%</f>
        <v>0.0081</v>
      </c>
      <c r="AQ198" s="283">
        <f t="shared" si="20"/>
        <v>0</v>
      </c>
      <c r="AR198" s="223"/>
      <c r="AS198" s="223"/>
      <c r="AT198" s="223"/>
      <c r="AU198" s="223"/>
      <c r="AV198" s="223"/>
      <c r="AW198" s="223"/>
      <c r="AX198" s="223"/>
      <c r="AY198" s="223"/>
      <c r="AZ198" s="223"/>
      <c r="BB198" s="223"/>
      <c r="CA198" s="125">
        <v>245971</v>
      </c>
      <c r="CB198" s="125">
        <v>300000</v>
      </c>
      <c r="CI198" s="125" t="s">
        <v>3258</v>
      </c>
      <c r="CK198" s="125" t="s">
        <v>4174</v>
      </c>
    </row>
    <row r="199" s="101" customFormat="1" customHeight="1" spans="1:92">
      <c r="A199" s="238">
        <v>161</v>
      </c>
      <c r="C199" s="244"/>
      <c r="E199" s="101" t="s">
        <v>4175</v>
      </c>
      <c r="G199" s="244"/>
      <c r="H199" s="244"/>
      <c r="I199" s="101" t="s">
        <v>4176</v>
      </c>
      <c r="J199" s="101">
        <v>153.46</v>
      </c>
      <c r="K199" s="101"/>
      <c r="L199" s="101">
        <v>5250</v>
      </c>
      <c r="M199" s="239"/>
      <c r="N199" s="242">
        <v>4935</v>
      </c>
      <c r="O199" s="157"/>
      <c r="P199" s="275"/>
      <c r="Q199" s="241"/>
      <c r="R199" s="242"/>
      <c r="S199" s="297"/>
      <c r="T199" s="298"/>
      <c r="U199" s="297"/>
      <c r="V199" s="242"/>
      <c r="W199" s="205"/>
      <c r="X199" s="242"/>
      <c r="Y199" s="205"/>
      <c r="AA199" s="205"/>
      <c r="AB199" s="242"/>
      <c r="AH199" s="242">
        <f t="shared" ref="AH199:AH262" si="30">V199+X199+Z199+AB199+AD199+AF199</f>
        <v>0</v>
      </c>
      <c r="AK199" s="205"/>
      <c r="AM199" s="244"/>
      <c r="AN199" s="275"/>
      <c r="AO199" s="101">
        <f t="shared" ref="AO199:AO262" si="31">SUM(AZ199:CF199)</f>
        <v>0</v>
      </c>
      <c r="AP199" s="158"/>
      <c r="AQ199" s="277">
        <f t="shared" ref="AQ199:AQ262" si="32">AR199+AS199+AT199+AU199+AV199+AW199+AX199+AY199</f>
        <v>0</v>
      </c>
      <c r="AR199" s="242"/>
      <c r="AS199" s="242"/>
      <c r="AT199" s="242"/>
      <c r="AU199" s="242"/>
      <c r="AV199" s="242"/>
      <c r="AW199" s="242"/>
      <c r="AX199" s="242"/>
      <c r="AY199" s="242"/>
      <c r="AZ199" s="242"/>
      <c r="BB199" s="242"/>
    </row>
    <row r="200" s="101" customFormat="1" customHeight="1" spans="1:92">
      <c r="A200" s="238">
        <v>162</v>
      </c>
      <c r="C200" s="244"/>
      <c r="G200" s="244"/>
      <c r="H200" s="244"/>
      <c r="I200" s="101" t="s">
        <v>4177</v>
      </c>
      <c r="J200" s="101">
        <v>86.14</v>
      </c>
      <c r="M200" s="239"/>
      <c r="N200" s="242">
        <v>4947</v>
      </c>
      <c r="O200" s="157"/>
      <c r="P200" s="275"/>
      <c r="Q200" s="241"/>
      <c r="R200" s="242"/>
      <c r="S200" s="297"/>
      <c r="T200" s="298"/>
      <c r="U200" s="297"/>
      <c r="V200" s="242"/>
      <c r="W200" s="205"/>
      <c r="X200" s="242"/>
      <c r="Y200" s="205"/>
      <c r="AA200" s="205"/>
      <c r="AB200" s="242"/>
      <c r="AH200" s="242">
        <f t="shared" si="30"/>
        <v>0</v>
      </c>
      <c r="AK200" s="205"/>
      <c r="AM200" s="244"/>
      <c r="AN200" s="275"/>
      <c r="AO200" s="101">
        <f t="shared" si="31"/>
        <v>0</v>
      </c>
      <c r="AP200" s="158"/>
      <c r="AQ200" s="277">
        <f t="shared" si="32"/>
        <v>0</v>
      </c>
      <c r="AR200" s="242"/>
      <c r="AS200" s="242"/>
      <c r="AT200" s="242"/>
      <c r="AU200" s="242"/>
      <c r="AV200" s="242"/>
      <c r="AW200" s="242"/>
      <c r="AX200" s="242"/>
      <c r="AY200" s="242"/>
      <c r="AZ200" s="242"/>
      <c r="BB200" s="242"/>
    </row>
    <row r="201" s="125" customFormat="1" customHeight="1" spans="1:92">
      <c r="A201" s="174">
        <v>163</v>
      </c>
      <c r="C201" s="184">
        <v>45568</v>
      </c>
      <c r="D201" s="125">
        <v>20240005753</v>
      </c>
      <c r="F201" s="1037" t="s">
        <v>4178</v>
      </c>
      <c r="G201" s="175" t="s">
        <v>4179</v>
      </c>
      <c r="H201" s="1040" t="s">
        <v>4180</v>
      </c>
      <c r="I201" s="125" t="s">
        <v>4181</v>
      </c>
      <c r="J201" s="125">
        <v>102.67</v>
      </c>
      <c r="K201" s="125">
        <v>102.67</v>
      </c>
      <c r="L201" s="125">
        <v>5000</v>
      </c>
      <c r="M201" s="282">
        <v>513350</v>
      </c>
      <c r="N201" s="223">
        <v>4945</v>
      </c>
      <c r="O201" s="165"/>
      <c r="P201" s="174"/>
      <c r="Q201" s="210"/>
      <c r="R201" s="223"/>
      <c r="S201" s="286"/>
      <c r="T201" s="292"/>
      <c r="U201" s="286" t="s">
        <v>370</v>
      </c>
      <c r="V201" s="223">
        <v>20000</v>
      </c>
      <c r="W201" s="286" t="s">
        <v>3649</v>
      </c>
      <c r="X201" s="223">
        <v>133350</v>
      </c>
      <c r="Y201" s="286" t="s">
        <v>770</v>
      </c>
      <c r="Z201" s="223">
        <v>360000</v>
      </c>
      <c r="AA201" s="286" t="s">
        <v>2112</v>
      </c>
      <c r="AB201" s="223"/>
      <c r="AH201" s="223">
        <f t="shared" si="30"/>
        <v>513350</v>
      </c>
      <c r="AK201" s="171">
        <f>M201-AH201</f>
        <v>0</v>
      </c>
      <c r="AL201" s="125">
        <v>19999191818</v>
      </c>
      <c r="AM201" s="175"/>
      <c r="AN201" s="287"/>
      <c r="AO201" s="125">
        <f t="shared" si="31"/>
        <v>513350</v>
      </c>
      <c r="AP201" s="166">
        <f>0.4%+0.03%+0.12%</f>
        <v>0.0055</v>
      </c>
      <c r="AQ201" s="283">
        <f t="shared" si="32"/>
        <v>0</v>
      </c>
      <c r="AR201" s="223"/>
      <c r="AS201" s="223"/>
      <c r="AT201" s="223"/>
      <c r="AU201" s="223"/>
      <c r="AV201" s="223"/>
      <c r="AW201" s="223"/>
      <c r="AX201" s="223"/>
      <c r="AY201" s="223"/>
      <c r="AZ201" s="223"/>
      <c r="BB201" s="223"/>
      <c r="BN201" s="125">
        <v>153350</v>
      </c>
      <c r="BU201" s="125">
        <v>360000</v>
      </c>
      <c r="CI201" s="125" t="s">
        <v>260</v>
      </c>
      <c r="CK201" s="125" t="s">
        <v>261</v>
      </c>
    </row>
    <row r="202" s="125" customFormat="1" customHeight="1" spans="1:92">
      <c r="A202" s="174">
        <v>164</v>
      </c>
      <c r="B202" s="125"/>
      <c r="C202" s="184">
        <v>45778</v>
      </c>
      <c r="D202" s="125">
        <v>20250002278</v>
      </c>
      <c r="F202" s="125" t="s">
        <v>4182</v>
      </c>
      <c r="G202" s="175" t="s">
        <v>4183</v>
      </c>
      <c r="H202" s="1040" t="s">
        <v>4184</v>
      </c>
      <c r="I202" s="125" t="s">
        <v>4185</v>
      </c>
      <c r="J202" s="125">
        <v>153.46</v>
      </c>
      <c r="K202" s="125">
        <v>153.46</v>
      </c>
      <c r="L202" s="125">
        <v>4730.875</v>
      </c>
      <c r="M202" s="282">
        <v>726000</v>
      </c>
      <c r="N202" s="282">
        <v>4730.875</v>
      </c>
      <c r="O202" s="165">
        <v>666055.05</v>
      </c>
      <c r="P202" s="1038" t="s">
        <v>4186</v>
      </c>
      <c r="Q202" s="210">
        <v>45910</v>
      </c>
      <c r="R202" s="223"/>
      <c r="S202" s="286"/>
      <c r="T202" s="292"/>
      <c r="U202" s="286" t="s">
        <v>267</v>
      </c>
      <c r="V202" s="223">
        <v>20000</v>
      </c>
      <c r="W202" s="286" t="s">
        <v>4127</v>
      </c>
      <c r="X202" s="223">
        <v>206000</v>
      </c>
      <c r="Y202" s="286" t="s">
        <v>3563</v>
      </c>
      <c r="Z202" s="223">
        <v>500000</v>
      </c>
      <c r="AA202" s="286" t="s">
        <v>2957</v>
      </c>
      <c r="AB202" s="223"/>
      <c r="AH202" s="223">
        <f t="shared" si="30"/>
        <v>726000</v>
      </c>
      <c r="AK202" s="171">
        <f>M202-AH202</f>
        <v>0</v>
      </c>
      <c r="AL202" s="125">
        <v>13283874113</v>
      </c>
      <c r="AM202" s="175" t="s">
        <v>3362</v>
      </c>
      <c r="AN202" s="287"/>
      <c r="AO202" s="125">
        <f t="shared" si="31"/>
        <v>726000</v>
      </c>
      <c r="AP202" s="169">
        <f>0.7%+0.08%+0.03%</f>
        <v>0.0081</v>
      </c>
      <c r="AQ202" s="283">
        <f t="shared" si="32"/>
        <v>0</v>
      </c>
      <c r="AR202" s="223"/>
      <c r="AS202" s="223"/>
      <c r="AT202" s="223"/>
      <c r="AU202" s="223"/>
      <c r="AV202" s="223"/>
      <c r="AW202" s="223"/>
      <c r="AX202" s="223"/>
      <c r="AY202" s="223"/>
      <c r="AZ202" s="223"/>
      <c r="BB202" s="223"/>
      <c r="BU202" s="125">
        <v>226000</v>
      </c>
      <c r="BV202" s="125">
        <v>500000</v>
      </c>
      <c r="CI202" s="125" t="s">
        <v>260</v>
      </c>
      <c r="CK202" s="125" t="s">
        <v>261</v>
      </c>
    </row>
    <row r="203" s="101" customFormat="1" customHeight="1" spans="1:92">
      <c r="A203" s="238">
        <v>165</v>
      </c>
      <c r="C203" s="244"/>
      <c r="E203" s="101" t="s">
        <v>4187</v>
      </c>
      <c r="G203" s="244"/>
      <c r="H203" s="244"/>
      <c r="I203" s="101" t="s">
        <v>4188</v>
      </c>
      <c r="J203" s="101">
        <v>86.14</v>
      </c>
      <c r="M203" s="239"/>
      <c r="N203" s="242">
        <v>4975</v>
      </c>
      <c r="O203" s="157"/>
      <c r="P203" s="238"/>
      <c r="Q203" s="241"/>
      <c r="R203" s="242"/>
      <c r="S203" s="297"/>
      <c r="T203" s="298"/>
      <c r="U203" s="297"/>
      <c r="V203" s="242"/>
      <c r="W203" s="205"/>
      <c r="X203" s="242"/>
      <c r="Y203" s="205"/>
      <c r="AA203" s="205"/>
      <c r="AB203" s="242"/>
      <c r="AH203" s="242">
        <f t="shared" si="30"/>
        <v>0</v>
      </c>
      <c r="AK203" s="205"/>
      <c r="AM203" s="244"/>
      <c r="AN203" s="275"/>
      <c r="AO203" s="101">
        <f t="shared" si="31"/>
        <v>0</v>
      </c>
      <c r="AP203" s="158"/>
      <c r="AQ203" s="277">
        <f t="shared" si="32"/>
        <v>0</v>
      </c>
      <c r="AR203" s="242"/>
      <c r="AS203" s="242"/>
      <c r="AT203" s="242"/>
      <c r="AU203" s="242"/>
      <c r="AV203" s="242"/>
      <c r="AW203" s="242"/>
      <c r="AX203" s="242"/>
      <c r="AY203" s="242"/>
      <c r="AZ203" s="242"/>
      <c r="BB203" s="242"/>
    </row>
    <row r="204" s="125" customFormat="1" customHeight="1" spans="1:92">
      <c r="A204" s="174">
        <v>166</v>
      </c>
      <c r="C204" s="184">
        <v>45366</v>
      </c>
      <c r="D204" s="125">
        <v>20240001393</v>
      </c>
      <c r="F204" s="1037" t="s">
        <v>4189</v>
      </c>
      <c r="G204" s="175" t="s">
        <v>4190</v>
      </c>
      <c r="H204" s="1040" t="s">
        <v>4191</v>
      </c>
      <c r="I204" s="125" t="s">
        <v>4192</v>
      </c>
      <c r="J204" s="125">
        <v>115.78</v>
      </c>
      <c r="K204" s="125">
        <v>115.78</v>
      </c>
      <c r="L204" s="125">
        <v>5100</v>
      </c>
      <c r="M204" s="282">
        <v>590478</v>
      </c>
      <c r="N204" s="223">
        <v>4975</v>
      </c>
      <c r="O204" s="165">
        <v>541722.94</v>
      </c>
      <c r="P204" s="1038" t="s">
        <v>4193</v>
      </c>
      <c r="Q204" s="210">
        <v>45846</v>
      </c>
      <c r="R204" s="223"/>
      <c r="S204" s="286"/>
      <c r="T204" s="292"/>
      <c r="U204" s="286" t="s">
        <v>2160</v>
      </c>
      <c r="V204" s="223">
        <v>20000</v>
      </c>
      <c r="W204" s="286" t="s">
        <v>3866</v>
      </c>
      <c r="X204" s="223">
        <f>100000+30478</f>
        <v>130478</v>
      </c>
      <c r="Y204" s="171" t="s">
        <v>4056</v>
      </c>
      <c r="Z204" s="223">
        <v>440000</v>
      </c>
      <c r="AA204" s="286" t="s">
        <v>556</v>
      </c>
      <c r="AB204" s="223"/>
      <c r="AH204" s="223">
        <f t="shared" si="30"/>
        <v>590478</v>
      </c>
      <c r="AK204" s="171">
        <f>M204-AH204</f>
        <v>0</v>
      </c>
      <c r="AL204" s="125">
        <v>18799800947</v>
      </c>
      <c r="AM204" s="175"/>
      <c r="AN204" s="287"/>
      <c r="AO204" s="125">
        <f t="shared" si="31"/>
        <v>590478</v>
      </c>
      <c r="AP204" s="169">
        <f>0.5%+0.04%+0.12%</f>
        <v>0.0066</v>
      </c>
      <c r="AQ204" s="283">
        <f t="shared" si="32"/>
        <v>0</v>
      </c>
      <c r="AR204" s="223"/>
      <c r="AS204" s="223"/>
      <c r="AT204" s="223"/>
      <c r="AU204" s="223"/>
      <c r="AV204" s="223"/>
      <c r="AW204" s="223"/>
      <c r="AX204" s="223"/>
      <c r="AY204" s="223"/>
      <c r="AZ204" s="223"/>
      <c r="BB204" s="223"/>
      <c r="BG204" s="125">
        <v>150478</v>
      </c>
      <c r="BI204" s="125">
        <v>440000</v>
      </c>
      <c r="CI204" s="125" t="s">
        <v>260</v>
      </c>
      <c r="CJ204" s="125" t="s">
        <v>271</v>
      </c>
      <c r="CK204" s="125" t="s">
        <v>261</v>
      </c>
      <c r="CN204" s="125">
        <f>CL204-CM204</f>
        <v>0</v>
      </c>
    </row>
    <row r="205" s="125" customFormat="1" customHeight="1" spans="1:92">
      <c r="A205" s="174">
        <v>167</v>
      </c>
      <c r="C205" s="184">
        <v>45440</v>
      </c>
      <c r="D205" s="125">
        <v>20240003146</v>
      </c>
      <c r="F205" s="1037" t="s">
        <v>4194</v>
      </c>
      <c r="G205" s="175" t="s">
        <v>4195</v>
      </c>
      <c r="H205" s="1040" t="s">
        <v>4196</v>
      </c>
      <c r="I205" s="125" t="s">
        <v>4197</v>
      </c>
      <c r="J205" s="125">
        <v>153.46</v>
      </c>
      <c r="K205" s="125">
        <v>153.46</v>
      </c>
      <c r="L205" s="125">
        <v>5082.75</v>
      </c>
      <c r="M205" s="282">
        <v>780000</v>
      </c>
      <c r="N205" s="223">
        <v>5008</v>
      </c>
      <c r="O205" s="165">
        <v>715596.33</v>
      </c>
      <c r="P205" s="1038" t="s">
        <v>4198</v>
      </c>
      <c r="Q205" s="210">
        <v>45846</v>
      </c>
      <c r="R205" s="223"/>
      <c r="S205" s="286"/>
      <c r="T205" s="292"/>
      <c r="U205" s="286" t="s">
        <v>561</v>
      </c>
      <c r="V205" s="223">
        <v>30000</v>
      </c>
      <c r="W205" s="286" t="s">
        <v>4199</v>
      </c>
      <c r="X205" s="223">
        <v>500000</v>
      </c>
      <c r="Y205" s="286" t="s">
        <v>4200</v>
      </c>
      <c r="Z205" s="223">
        <v>250000</v>
      </c>
      <c r="AA205" s="286" t="s">
        <v>704</v>
      </c>
      <c r="AB205" s="223"/>
      <c r="AH205" s="223">
        <f t="shared" si="30"/>
        <v>780000</v>
      </c>
      <c r="AK205" s="171">
        <f>M205-AH205</f>
        <v>0</v>
      </c>
      <c r="AL205" s="125">
        <v>15199917772</v>
      </c>
      <c r="AM205" s="175"/>
      <c r="AN205" s="287"/>
      <c r="AO205" s="125">
        <f t="shared" si="31"/>
        <v>780000</v>
      </c>
      <c r="AP205" s="169">
        <f>0.7%+0.05%+0.12%</f>
        <v>0.0087</v>
      </c>
      <c r="AQ205" s="283">
        <f t="shared" si="32"/>
        <v>0</v>
      </c>
      <c r="AR205" s="223"/>
      <c r="AS205" s="223"/>
      <c r="AT205" s="223"/>
      <c r="AU205" s="223"/>
      <c r="AV205" s="223"/>
      <c r="AW205" s="223"/>
      <c r="AX205" s="223"/>
      <c r="AY205" s="223"/>
      <c r="AZ205" s="223"/>
      <c r="BB205" s="223"/>
      <c r="BI205" s="125">
        <v>530000</v>
      </c>
      <c r="BJ205" s="125">
        <v>250000</v>
      </c>
      <c r="CI205" s="125" t="s">
        <v>260</v>
      </c>
      <c r="CJ205" s="125" t="s">
        <v>271</v>
      </c>
      <c r="CK205" s="125" t="s">
        <v>261</v>
      </c>
    </row>
    <row r="206" s="101" customFormat="1" customHeight="1" spans="1:92">
      <c r="A206" s="238">
        <v>168</v>
      </c>
      <c r="C206" s="244"/>
      <c r="E206" s="101" t="s">
        <v>4167</v>
      </c>
      <c r="G206" s="244"/>
      <c r="H206" s="244"/>
      <c r="I206" s="101" t="s">
        <v>4201</v>
      </c>
      <c r="J206" s="101">
        <v>86.14</v>
      </c>
      <c r="M206" s="239"/>
      <c r="N206" s="242">
        <v>5018</v>
      </c>
      <c r="O206" s="157"/>
      <c r="P206" s="238"/>
      <c r="Q206" s="241"/>
      <c r="R206" s="242"/>
      <c r="S206" s="297"/>
      <c r="T206" s="298"/>
      <c r="U206" s="297"/>
      <c r="V206" s="242"/>
      <c r="W206" s="205"/>
      <c r="X206" s="242"/>
      <c r="Y206" s="205"/>
      <c r="AA206" s="205"/>
      <c r="AB206" s="242"/>
      <c r="AH206" s="242">
        <f t="shared" si="30"/>
        <v>0</v>
      </c>
      <c r="AK206" s="205"/>
      <c r="AM206" s="244"/>
      <c r="AN206" s="275"/>
      <c r="AO206" s="101">
        <f t="shared" si="31"/>
        <v>0</v>
      </c>
      <c r="AP206" s="158"/>
      <c r="AQ206" s="277">
        <f t="shared" si="32"/>
        <v>0</v>
      </c>
      <c r="AR206" s="242"/>
      <c r="AS206" s="242"/>
      <c r="AT206" s="242"/>
      <c r="AU206" s="242"/>
      <c r="AV206" s="242"/>
      <c r="AW206" s="242"/>
      <c r="AX206" s="242"/>
      <c r="AY206" s="242"/>
      <c r="AZ206" s="242"/>
      <c r="BB206" s="242"/>
    </row>
    <row r="207" s="125" customFormat="1" customHeight="1" spans="1:92">
      <c r="A207" s="174">
        <v>169</v>
      </c>
      <c r="C207" s="184">
        <v>45356</v>
      </c>
      <c r="D207" s="125">
        <v>20240001173</v>
      </c>
      <c r="F207" s="1037" t="s">
        <v>4202</v>
      </c>
      <c r="G207" s="175" t="s">
        <v>4203</v>
      </c>
      <c r="H207" s="1040" t="s">
        <v>4204</v>
      </c>
      <c r="I207" s="125" t="s">
        <v>4205</v>
      </c>
      <c r="J207" s="125">
        <v>115.78</v>
      </c>
      <c r="K207" s="125">
        <v>115.78</v>
      </c>
      <c r="L207" s="125">
        <v>5118</v>
      </c>
      <c r="M207" s="282">
        <v>592562</v>
      </c>
      <c r="N207" s="223">
        <v>5018</v>
      </c>
      <c r="O207" s="165">
        <v>543634.86</v>
      </c>
      <c r="P207" s="1038" t="s">
        <v>4206</v>
      </c>
      <c r="Q207" s="210">
        <v>45846</v>
      </c>
      <c r="R207" s="223"/>
      <c r="S207" s="286"/>
      <c r="T207" s="292"/>
      <c r="U207" s="286" t="s">
        <v>656</v>
      </c>
      <c r="V207" s="223">
        <v>10000</v>
      </c>
      <c r="W207" s="286" t="s">
        <v>363</v>
      </c>
      <c r="X207" s="223">
        <v>112562</v>
      </c>
      <c r="Y207" s="171" t="s">
        <v>753</v>
      </c>
      <c r="Z207" s="125">
        <v>470000</v>
      </c>
      <c r="AA207" s="171" t="s">
        <v>324</v>
      </c>
      <c r="AB207" s="223"/>
      <c r="AH207" s="223">
        <f t="shared" si="30"/>
        <v>592562</v>
      </c>
      <c r="AK207" s="171">
        <f t="shared" ref="AK207:AK212" si="33">M207-AH207</f>
        <v>0</v>
      </c>
      <c r="AL207" s="125">
        <v>17599260161</v>
      </c>
      <c r="AM207" s="175"/>
      <c r="AN207" s="287"/>
      <c r="AO207" s="125">
        <f t="shared" si="31"/>
        <v>592562</v>
      </c>
      <c r="AP207" s="166">
        <f>0.5%+0.04%+0.14%</f>
        <v>0.0068</v>
      </c>
      <c r="AQ207" s="283">
        <f t="shared" si="32"/>
        <v>0</v>
      </c>
      <c r="AR207" s="223"/>
      <c r="AS207" s="223"/>
      <c r="AT207" s="223"/>
      <c r="AU207" s="223"/>
      <c r="AV207" s="223"/>
      <c r="AW207" s="223"/>
      <c r="AX207" s="223"/>
      <c r="AY207" s="223"/>
      <c r="AZ207" s="223"/>
      <c r="BB207" s="223"/>
      <c r="BG207" s="125">
        <v>592562</v>
      </c>
      <c r="CI207" s="125" t="s">
        <v>260</v>
      </c>
      <c r="CJ207" s="125" t="s">
        <v>271</v>
      </c>
      <c r="CK207" s="125" t="s">
        <v>261</v>
      </c>
    </row>
    <row r="208" s="125" customFormat="1" ht="55" customHeight="1" spans="1:92">
      <c r="A208" s="174">
        <v>170</v>
      </c>
      <c r="C208" s="184">
        <v>45356</v>
      </c>
      <c r="D208" s="125">
        <v>20240001149</v>
      </c>
      <c r="F208" s="1037" t="s">
        <v>4207</v>
      </c>
      <c r="G208" s="175" t="s">
        <v>4208</v>
      </c>
      <c r="H208" s="1040" t="s">
        <v>4209</v>
      </c>
      <c r="I208" s="125" t="s">
        <v>4210</v>
      </c>
      <c r="J208" s="125">
        <v>132.34</v>
      </c>
      <c r="K208" s="125">
        <v>132.34</v>
      </c>
      <c r="L208" s="125">
        <v>5100.5</v>
      </c>
      <c r="M208" s="282">
        <v>675000</v>
      </c>
      <c r="N208" s="223">
        <v>5044</v>
      </c>
      <c r="O208" s="165">
        <v>619266.06</v>
      </c>
      <c r="P208" s="1038" t="s">
        <v>4211</v>
      </c>
      <c r="Q208" s="210">
        <v>45846</v>
      </c>
      <c r="R208" s="223"/>
      <c r="S208" s="286"/>
      <c r="T208" s="292"/>
      <c r="U208" s="286" t="s">
        <v>4212</v>
      </c>
      <c r="V208" s="223">
        <f>10000-10000</f>
        <v>0</v>
      </c>
      <c r="W208" s="286" t="s">
        <v>4213</v>
      </c>
      <c r="X208" s="223">
        <f>5000-5000</f>
        <v>0</v>
      </c>
      <c r="Y208" s="286" t="s">
        <v>566</v>
      </c>
      <c r="Z208" s="223">
        <v>20000</v>
      </c>
      <c r="AA208" s="286" t="s">
        <v>953</v>
      </c>
      <c r="AB208" s="223">
        <v>115000</v>
      </c>
      <c r="AC208" s="286" t="s">
        <v>753</v>
      </c>
      <c r="AD208" s="223">
        <v>540000</v>
      </c>
      <c r="AE208" s="286" t="s">
        <v>438</v>
      </c>
      <c r="AH208" s="223">
        <f t="shared" si="30"/>
        <v>675000</v>
      </c>
      <c r="AK208" s="171">
        <f t="shared" si="33"/>
        <v>0</v>
      </c>
      <c r="AL208" s="125">
        <v>18699621815</v>
      </c>
      <c r="AM208" s="175"/>
      <c r="AN208" s="287"/>
      <c r="AO208" s="125">
        <f t="shared" si="31"/>
        <v>675000</v>
      </c>
      <c r="AP208" s="169">
        <f>0.7%+0.05%+0.14%</f>
        <v>0.0089</v>
      </c>
      <c r="AQ208" s="283">
        <f t="shared" si="32"/>
        <v>0</v>
      </c>
      <c r="AR208" s="223"/>
      <c r="AS208" s="223"/>
      <c r="AT208" s="223"/>
      <c r="AU208" s="223"/>
      <c r="AV208" s="223"/>
      <c r="AW208" s="223"/>
      <c r="AX208" s="223"/>
      <c r="AY208" s="223"/>
      <c r="AZ208" s="223"/>
      <c r="BB208" s="223"/>
      <c r="BG208" s="125">
        <v>135000</v>
      </c>
      <c r="BH208" s="125">
        <v>540000</v>
      </c>
      <c r="CI208" s="125" t="s">
        <v>260</v>
      </c>
      <c r="CJ208" s="125" t="s">
        <v>271</v>
      </c>
      <c r="CK208" s="125" t="s">
        <v>261</v>
      </c>
    </row>
    <row r="209" s="125" customFormat="1" customHeight="1" spans="1:91">
      <c r="A209" s="174">
        <v>171</v>
      </c>
      <c r="B209" s="125"/>
      <c r="C209" s="184">
        <v>45898</v>
      </c>
      <c r="D209" s="125">
        <v>20250004442</v>
      </c>
      <c r="E209" s="125" t="s">
        <v>4214</v>
      </c>
      <c r="F209" s="125" t="s">
        <v>4215</v>
      </c>
      <c r="G209" s="175" t="s">
        <v>4216</v>
      </c>
      <c r="H209" s="175"/>
      <c r="I209" s="125" t="s">
        <v>4217</v>
      </c>
      <c r="J209" s="125">
        <v>86.14</v>
      </c>
      <c r="K209" s="125">
        <v>86.14</v>
      </c>
      <c r="L209" s="125">
        <v>5084.75</v>
      </c>
      <c r="M209" s="282">
        <v>438000</v>
      </c>
      <c r="N209" s="223">
        <v>5054</v>
      </c>
      <c r="O209" s="165">
        <v>401834.86</v>
      </c>
      <c r="P209" s="1038" t="s">
        <v>4218</v>
      </c>
      <c r="Q209" s="210">
        <v>45910</v>
      </c>
      <c r="R209" s="223"/>
      <c r="S209" s="286"/>
      <c r="T209" s="292"/>
      <c r="U209" s="286"/>
      <c r="V209" s="223">
        <v>40000</v>
      </c>
      <c r="W209" s="286">
        <v>45897</v>
      </c>
      <c r="X209" s="223">
        <f>48000+350000</f>
        <v>398000</v>
      </c>
      <c r="Y209" s="286" t="s">
        <v>4219</v>
      </c>
      <c r="AA209" s="171"/>
      <c r="AB209" s="223"/>
      <c r="AH209" s="223">
        <f t="shared" si="30"/>
        <v>438000</v>
      </c>
      <c r="AK209" s="171">
        <f t="shared" si="33"/>
        <v>0</v>
      </c>
      <c r="AM209" s="175"/>
      <c r="AN209" s="287"/>
      <c r="AO209" s="125">
        <f t="shared" si="31"/>
        <v>0</v>
      </c>
      <c r="AP209" s="166"/>
      <c r="AQ209" s="283">
        <f t="shared" si="32"/>
        <v>0</v>
      </c>
      <c r="AR209" s="223"/>
      <c r="AS209" s="223"/>
      <c r="AT209" s="223"/>
      <c r="AU209" s="223"/>
      <c r="AV209" s="223"/>
      <c r="AW209" s="223"/>
      <c r="AX209" s="223"/>
      <c r="AY209" s="223"/>
      <c r="AZ209" s="223"/>
      <c r="BB209" s="223"/>
      <c r="CI209" s="125" t="s">
        <v>2707</v>
      </c>
      <c r="CK209" s="125" t="s">
        <v>261</v>
      </c>
    </row>
    <row r="210" s="125" customFormat="1" customHeight="1" spans="1:91">
      <c r="A210" s="174">
        <v>172</v>
      </c>
      <c r="C210" s="184">
        <v>45355</v>
      </c>
      <c r="D210" s="125">
        <v>20240001132</v>
      </c>
      <c r="F210" s="1037" t="s">
        <v>4220</v>
      </c>
      <c r="G210" s="175" t="s">
        <v>4221</v>
      </c>
      <c r="H210" s="1040" t="s">
        <v>4222</v>
      </c>
      <c r="I210" s="125" t="s">
        <v>4223</v>
      </c>
      <c r="J210" s="125">
        <v>115.78</v>
      </c>
      <c r="K210" s="125">
        <v>115.78</v>
      </c>
      <c r="L210" s="125">
        <v>5096</v>
      </c>
      <c r="M210" s="282">
        <v>590000</v>
      </c>
      <c r="N210" s="223">
        <v>5054</v>
      </c>
      <c r="O210" s="165">
        <v>541284.4</v>
      </c>
      <c r="P210" s="1038" t="s">
        <v>4224</v>
      </c>
      <c r="Q210" s="210">
        <v>45846</v>
      </c>
      <c r="R210" s="223"/>
      <c r="S210" s="286"/>
      <c r="T210" s="292"/>
      <c r="U210" s="286" t="s">
        <v>2160</v>
      </c>
      <c r="V210" s="223">
        <v>10000</v>
      </c>
      <c r="W210" s="286" t="s">
        <v>363</v>
      </c>
      <c r="X210" s="223">
        <v>290000</v>
      </c>
      <c r="Y210" s="171" t="s">
        <v>3787</v>
      </c>
      <c r="Z210" s="125">
        <v>290000</v>
      </c>
      <c r="AA210" s="171" t="s">
        <v>3788</v>
      </c>
      <c r="AB210" s="223"/>
      <c r="AH210" s="223">
        <f t="shared" si="30"/>
        <v>590000</v>
      </c>
      <c r="AK210" s="171">
        <f t="shared" si="33"/>
        <v>0</v>
      </c>
      <c r="AL210" s="125">
        <v>18699696611</v>
      </c>
      <c r="AM210" s="175"/>
      <c r="AN210" s="287"/>
      <c r="AO210" s="125">
        <f t="shared" si="31"/>
        <v>590000</v>
      </c>
      <c r="AP210" s="169">
        <f>0.7%+0.04%+0.14%</f>
        <v>0.0088</v>
      </c>
      <c r="AQ210" s="283">
        <f t="shared" si="32"/>
        <v>0</v>
      </c>
      <c r="AR210" s="223"/>
      <c r="AS210" s="223"/>
      <c r="AT210" s="223"/>
      <c r="AU210" s="223"/>
      <c r="AV210" s="223"/>
      <c r="AW210" s="223"/>
      <c r="AX210" s="223"/>
      <c r="AY210" s="223"/>
      <c r="AZ210" s="223"/>
      <c r="BB210" s="223"/>
      <c r="BG210" s="125">
        <v>590000</v>
      </c>
      <c r="CI210" s="125" t="s">
        <v>260</v>
      </c>
      <c r="CJ210" s="125" t="s">
        <v>271</v>
      </c>
      <c r="CK210" s="125" t="s">
        <v>261</v>
      </c>
    </row>
    <row r="211" s="125" customFormat="1" customHeight="1" spans="1:91">
      <c r="A211" s="174">
        <v>173</v>
      </c>
      <c r="C211" s="184">
        <v>45401</v>
      </c>
      <c r="D211" s="125">
        <v>20240002185</v>
      </c>
      <c r="F211" s="1037" t="s">
        <v>4225</v>
      </c>
      <c r="G211" s="175" t="s">
        <v>4226</v>
      </c>
      <c r="H211" s="1040" t="s">
        <v>4227</v>
      </c>
      <c r="I211" s="125" t="s">
        <v>4228</v>
      </c>
      <c r="J211" s="125">
        <v>132.34</v>
      </c>
      <c r="K211" s="125">
        <v>132.34</v>
      </c>
      <c r="L211" s="125">
        <v>5191.17</v>
      </c>
      <c r="M211" s="282">
        <v>687000</v>
      </c>
      <c r="N211" s="223">
        <v>5095</v>
      </c>
      <c r="O211" s="165">
        <v>630275.23</v>
      </c>
      <c r="P211" s="1038" t="s">
        <v>4229</v>
      </c>
      <c r="Q211" s="210">
        <v>45846</v>
      </c>
      <c r="R211" s="223"/>
      <c r="S211" s="286"/>
      <c r="T211" s="292"/>
      <c r="U211" s="286" t="s">
        <v>370</v>
      </c>
      <c r="V211" s="223">
        <v>20000</v>
      </c>
      <c r="W211" s="286" t="s">
        <v>3701</v>
      </c>
      <c r="X211" s="223">
        <v>517000</v>
      </c>
      <c r="Y211" s="286" t="s">
        <v>269</v>
      </c>
      <c r="Z211" s="223">
        <v>150000</v>
      </c>
      <c r="AA211" s="286" t="s">
        <v>3676</v>
      </c>
      <c r="AB211" s="223"/>
      <c r="AH211" s="223">
        <f t="shared" si="30"/>
        <v>687000</v>
      </c>
      <c r="AK211" s="171">
        <f t="shared" si="33"/>
        <v>0</v>
      </c>
      <c r="AL211" s="125">
        <v>19990287649</v>
      </c>
      <c r="AM211" s="175"/>
      <c r="AN211" s="287"/>
      <c r="AO211" s="125">
        <f t="shared" si="31"/>
        <v>687000</v>
      </c>
      <c r="AP211" s="166">
        <f>0.5%+0.04%+0.14%</f>
        <v>0.0068</v>
      </c>
      <c r="AQ211" s="283">
        <f t="shared" si="32"/>
        <v>0</v>
      </c>
      <c r="AR211" s="223"/>
      <c r="AS211" s="223"/>
      <c r="AT211" s="223"/>
      <c r="AU211" s="223"/>
      <c r="AV211" s="223"/>
      <c r="AW211" s="223"/>
      <c r="AX211" s="223"/>
      <c r="AY211" s="223"/>
      <c r="AZ211" s="223"/>
      <c r="BB211" s="223"/>
      <c r="BH211" s="125">
        <v>537000</v>
      </c>
      <c r="BJ211" s="125">
        <v>150000</v>
      </c>
      <c r="CI211" s="125" t="s">
        <v>260</v>
      </c>
      <c r="CJ211" s="125" t="s">
        <v>271</v>
      </c>
      <c r="CK211" s="125" t="s">
        <v>261</v>
      </c>
    </row>
    <row r="212" s="125" customFormat="1" customHeight="1" spans="1:91">
      <c r="A212" s="174">
        <v>174</v>
      </c>
      <c r="C212" s="184">
        <v>45968</v>
      </c>
      <c r="D212" s="125">
        <v>20250005713</v>
      </c>
      <c r="E212" s="125" t="s">
        <v>4230</v>
      </c>
      <c r="F212" s="1037" t="s">
        <v>4231</v>
      </c>
      <c r="G212" s="175" t="s">
        <v>4232</v>
      </c>
      <c r="H212" s="175"/>
      <c r="I212" s="125" t="s">
        <v>4233</v>
      </c>
      <c r="J212" s="125">
        <v>86.14</v>
      </c>
      <c r="K212" s="125">
        <v>86.14</v>
      </c>
      <c r="L212" s="125">
        <v>5441.49</v>
      </c>
      <c r="M212" s="282">
        <v>468730</v>
      </c>
      <c r="N212" s="223">
        <v>5115</v>
      </c>
      <c r="O212" s="165">
        <v>430027.52</v>
      </c>
      <c r="P212" s="1038" t="s">
        <v>4234</v>
      </c>
      <c r="Q212" s="210">
        <v>45972</v>
      </c>
      <c r="R212" s="223"/>
      <c r="S212" s="286"/>
      <c r="T212" s="292"/>
      <c r="U212" s="286"/>
      <c r="V212" s="223">
        <v>468730</v>
      </c>
      <c r="W212" s="286">
        <v>45968</v>
      </c>
      <c r="X212" s="223"/>
      <c r="Y212" s="171"/>
      <c r="AA212" s="171"/>
      <c r="AB212" s="223"/>
      <c r="AH212" s="223">
        <f t="shared" si="30"/>
        <v>468730</v>
      </c>
      <c r="AK212" s="171">
        <f t="shared" si="33"/>
        <v>0</v>
      </c>
      <c r="AM212" s="175"/>
      <c r="AN212" s="287"/>
      <c r="AO212" s="125">
        <f t="shared" si="31"/>
        <v>0</v>
      </c>
      <c r="AP212" s="166"/>
      <c r="AQ212" s="283">
        <f t="shared" si="32"/>
        <v>0</v>
      </c>
      <c r="AR212" s="223"/>
      <c r="AS212" s="223"/>
      <c r="AT212" s="223"/>
      <c r="AU212" s="223"/>
      <c r="AV212" s="223"/>
      <c r="AW212" s="223"/>
      <c r="AX212" s="223"/>
      <c r="AY212" s="223"/>
      <c r="AZ212" s="223"/>
      <c r="BB212" s="223"/>
      <c r="CI212" s="125" t="s">
        <v>3258</v>
      </c>
      <c r="CK212" s="125" t="s">
        <v>4174</v>
      </c>
    </row>
    <row r="213" s="125" customFormat="1" customHeight="1" spans="1:91">
      <c r="A213" s="174">
        <v>175</v>
      </c>
      <c r="C213" s="184">
        <v>45353</v>
      </c>
      <c r="D213" s="125">
        <v>20240001101</v>
      </c>
      <c r="F213" s="1037" t="s">
        <v>4235</v>
      </c>
      <c r="G213" s="175" t="s">
        <v>4236</v>
      </c>
      <c r="H213" s="1040" t="s">
        <v>4237</v>
      </c>
      <c r="I213" s="125" t="s">
        <v>4238</v>
      </c>
      <c r="J213" s="125">
        <v>115.78</v>
      </c>
      <c r="K213" s="125">
        <v>115.78</v>
      </c>
      <c r="L213" s="125">
        <v>5205</v>
      </c>
      <c r="M213" s="282">
        <v>602635</v>
      </c>
      <c r="N213" s="223">
        <v>5105</v>
      </c>
      <c r="O213" s="165">
        <v>552876.15</v>
      </c>
      <c r="P213" s="1039" t="s">
        <v>4239</v>
      </c>
      <c r="Q213" s="210">
        <v>45832</v>
      </c>
      <c r="T213" s="292"/>
      <c r="U213" s="286" t="s">
        <v>284</v>
      </c>
      <c r="V213" s="223">
        <v>20000</v>
      </c>
      <c r="W213" s="286" t="s">
        <v>4240</v>
      </c>
      <c r="X213" s="223">
        <v>125000</v>
      </c>
      <c r="Y213" s="286" t="s">
        <v>363</v>
      </c>
      <c r="Z213" s="125">
        <v>55000</v>
      </c>
      <c r="AA213" s="171" t="s">
        <v>363</v>
      </c>
      <c r="AB213" s="223">
        <v>402635</v>
      </c>
      <c r="AC213" s="286" t="s">
        <v>4241</v>
      </c>
      <c r="AH213" s="223">
        <f t="shared" si="30"/>
        <v>602635</v>
      </c>
      <c r="AK213" s="171">
        <f t="shared" ref="AK213:AK222" si="34">M213-AH213</f>
        <v>0</v>
      </c>
      <c r="AL213" s="125">
        <v>13364854094</v>
      </c>
      <c r="AM213" s="175"/>
      <c r="AN213" s="287"/>
      <c r="AO213" s="125">
        <f t="shared" si="31"/>
        <v>602635</v>
      </c>
      <c r="AP213" s="169">
        <f>0.7%+0.03%+0.12%</f>
        <v>0.0085</v>
      </c>
      <c r="AQ213" s="283">
        <f t="shared" si="32"/>
        <v>0</v>
      </c>
      <c r="AR213" s="223"/>
      <c r="AS213" s="223"/>
      <c r="AT213" s="223"/>
      <c r="AU213" s="223"/>
      <c r="AV213" s="223"/>
      <c r="AW213" s="223"/>
      <c r="AX213" s="223"/>
      <c r="AY213" s="223"/>
      <c r="AZ213" s="223"/>
      <c r="BB213" s="223"/>
      <c r="BM213" s="125">
        <v>602635</v>
      </c>
      <c r="CI213" s="125" t="s">
        <v>260</v>
      </c>
      <c r="CJ213" s="125" t="s">
        <v>271</v>
      </c>
      <c r="CK213" s="125" t="s">
        <v>261</v>
      </c>
    </row>
    <row r="214" s="125" customFormat="1" customHeight="1" spans="1:91">
      <c r="A214" s="174">
        <v>176</v>
      </c>
      <c r="C214" s="184">
        <v>45344</v>
      </c>
      <c r="D214" s="125">
        <v>20240000921</v>
      </c>
      <c r="F214" s="1037" t="s">
        <v>4242</v>
      </c>
      <c r="G214" s="175" t="s">
        <v>3638</v>
      </c>
      <c r="H214" s="1040" t="s">
        <v>4243</v>
      </c>
      <c r="I214" s="125" t="s">
        <v>4244</v>
      </c>
      <c r="J214" s="125">
        <v>132.34</v>
      </c>
      <c r="K214" s="125">
        <v>132.34</v>
      </c>
      <c r="L214" s="125">
        <v>5213.84</v>
      </c>
      <c r="M214" s="282">
        <v>690000</v>
      </c>
      <c r="N214" s="223">
        <v>5155</v>
      </c>
      <c r="O214" s="165">
        <v>633027.52</v>
      </c>
      <c r="P214" s="1038" t="s">
        <v>4245</v>
      </c>
      <c r="Q214" s="210">
        <v>45846</v>
      </c>
      <c r="R214" s="223"/>
      <c r="S214" s="286"/>
      <c r="T214" s="292"/>
      <c r="U214" s="286" t="s">
        <v>277</v>
      </c>
      <c r="V214" s="223">
        <v>20000</v>
      </c>
      <c r="W214" s="286" t="s">
        <v>911</v>
      </c>
      <c r="X214" s="223">
        <v>670000</v>
      </c>
      <c r="Y214" s="171" t="s">
        <v>3865</v>
      </c>
      <c r="AA214" s="171"/>
      <c r="AB214" s="223"/>
      <c r="AH214" s="223">
        <f t="shared" si="30"/>
        <v>690000</v>
      </c>
      <c r="AK214" s="171">
        <f t="shared" si="34"/>
        <v>0</v>
      </c>
      <c r="AL214" s="125">
        <v>13201131444</v>
      </c>
      <c r="AM214" s="175"/>
      <c r="AN214" s="287"/>
      <c r="AO214" s="125">
        <f t="shared" si="31"/>
        <v>690000</v>
      </c>
      <c r="AP214" s="169">
        <f>0.6%+0.05%+0.14%</f>
        <v>0.0079</v>
      </c>
      <c r="AQ214" s="283">
        <f t="shared" si="32"/>
        <v>0</v>
      </c>
      <c r="AR214" s="223"/>
      <c r="AS214" s="223"/>
      <c r="AT214" s="223"/>
      <c r="AU214" s="223"/>
      <c r="AV214" s="223"/>
      <c r="AW214" s="223"/>
      <c r="AX214" s="223"/>
      <c r="AY214" s="223"/>
      <c r="AZ214" s="223"/>
      <c r="BB214" s="223"/>
      <c r="BF214" s="125">
        <v>690000</v>
      </c>
      <c r="CI214" s="125" t="s">
        <v>260</v>
      </c>
      <c r="CJ214" s="125" t="s">
        <v>271</v>
      </c>
      <c r="CK214" s="125" t="s">
        <v>261</v>
      </c>
    </row>
    <row r="215" s="125" customFormat="1" customHeight="1" spans="1:91">
      <c r="A215" s="174">
        <v>177</v>
      </c>
      <c r="C215" s="184">
        <v>45546</v>
      </c>
      <c r="D215" s="125">
        <v>20240005221</v>
      </c>
      <c r="F215" s="1037" t="s">
        <v>4246</v>
      </c>
      <c r="G215" s="175" t="s">
        <v>4247</v>
      </c>
      <c r="H215" s="175"/>
      <c r="I215" s="125" t="s">
        <v>4248</v>
      </c>
      <c r="J215" s="125">
        <v>86.14</v>
      </c>
      <c r="K215" s="125">
        <v>86.14</v>
      </c>
      <c r="L215" s="125">
        <v>5300</v>
      </c>
      <c r="M215" s="282">
        <v>456542</v>
      </c>
      <c r="N215" s="223">
        <v>5195</v>
      </c>
      <c r="O215" s="165">
        <v>418845.87</v>
      </c>
      <c r="P215" s="1038" t="s">
        <v>4249</v>
      </c>
      <c r="Q215" s="210">
        <v>45846</v>
      </c>
      <c r="R215" s="223"/>
      <c r="S215" s="286"/>
      <c r="T215" s="292"/>
      <c r="U215" s="286" t="s">
        <v>370</v>
      </c>
      <c r="V215" s="223">
        <v>10000</v>
      </c>
      <c r="W215" s="286" t="s">
        <v>4089</v>
      </c>
      <c r="X215" s="223">
        <v>6542</v>
      </c>
      <c r="Y215" s="286">
        <v>45546</v>
      </c>
      <c r="Z215" s="125">
        <v>140000</v>
      </c>
      <c r="AA215" s="171" t="s">
        <v>663</v>
      </c>
      <c r="AB215" s="223">
        <v>300000</v>
      </c>
      <c r="AC215" s="286" t="s">
        <v>391</v>
      </c>
      <c r="AH215" s="223">
        <f t="shared" si="30"/>
        <v>456542</v>
      </c>
      <c r="AK215" s="171">
        <f t="shared" si="34"/>
        <v>0</v>
      </c>
      <c r="AL215" s="125">
        <v>13779679327</v>
      </c>
      <c r="AM215" s="175"/>
      <c r="AN215" s="287"/>
      <c r="AO215" s="125">
        <f t="shared" si="31"/>
        <v>456542</v>
      </c>
      <c r="AP215" s="166">
        <f>0.4%+0.03%+0.12%</f>
        <v>0.0055</v>
      </c>
      <c r="AQ215" s="283">
        <f t="shared" si="32"/>
        <v>0</v>
      </c>
      <c r="AR215" s="223"/>
      <c r="AS215" s="223"/>
      <c r="AT215" s="223"/>
      <c r="AU215" s="223"/>
      <c r="AV215" s="223"/>
      <c r="AW215" s="223"/>
      <c r="AX215" s="223"/>
      <c r="AY215" s="223"/>
      <c r="AZ215" s="223"/>
      <c r="BB215" s="223"/>
      <c r="BO215" s="125">
        <v>456542</v>
      </c>
      <c r="CI215" s="125" t="s">
        <v>260</v>
      </c>
      <c r="CK215" s="125" t="s">
        <v>261</v>
      </c>
    </row>
    <row r="216" s="125" customFormat="1" customHeight="1" spans="1:91">
      <c r="A216" s="174">
        <v>178</v>
      </c>
      <c r="C216" s="184">
        <v>45311</v>
      </c>
      <c r="D216" s="125">
        <v>20240000478</v>
      </c>
      <c r="F216" s="1037" t="s">
        <v>4250</v>
      </c>
      <c r="G216" s="175" t="s">
        <v>4251</v>
      </c>
      <c r="H216" s="175"/>
      <c r="I216" s="125" t="s">
        <v>4252</v>
      </c>
      <c r="J216" s="125">
        <v>115.78</v>
      </c>
      <c r="K216" s="125">
        <v>115.78</v>
      </c>
      <c r="L216" s="125">
        <f>M216/K216</f>
        <v>5268.6128865089</v>
      </c>
      <c r="M216" s="282">
        <v>610000</v>
      </c>
      <c r="N216" s="223">
        <v>5165</v>
      </c>
      <c r="O216" s="165">
        <v>559633.03</v>
      </c>
      <c r="P216" s="1038" t="s">
        <v>4253</v>
      </c>
      <c r="Q216" s="210">
        <v>45846</v>
      </c>
      <c r="R216" s="223"/>
      <c r="S216" s="286"/>
      <c r="T216" s="292"/>
      <c r="U216" s="286"/>
      <c r="V216" s="223">
        <v>20000</v>
      </c>
      <c r="W216" s="286" t="s">
        <v>3759</v>
      </c>
      <c r="X216" s="223">
        <v>170000</v>
      </c>
      <c r="Y216" s="171" t="s">
        <v>334</v>
      </c>
      <c r="Z216" s="223">
        <v>420000</v>
      </c>
      <c r="AA216" s="286" t="s">
        <v>3668</v>
      </c>
      <c r="AB216" s="223"/>
      <c r="AH216" s="223">
        <f t="shared" si="30"/>
        <v>610000</v>
      </c>
      <c r="AK216" s="171">
        <f t="shared" si="34"/>
        <v>0</v>
      </c>
      <c r="AM216" s="175"/>
      <c r="AN216" s="287"/>
      <c r="AO216" s="125">
        <f t="shared" si="31"/>
        <v>610000</v>
      </c>
      <c r="AP216" s="169">
        <f>0.4%+0.04%+0.12%</f>
        <v>0.0056</v>
      </c>
      <c r="AQ216" s="283">
        <f t="shared" si="32"/>
        <v>0</v>
      </c>
      <c r="AR216" s="223"/>
      <c r="AS216" s="223"/>
      <c r="AT216" s="223"/>
      <c r="AU216" s="223"/>
      <c r="AV216" s="223"/>
      <c r="AW216" s="223"/>
      <c r="AX216" s="223"/>
      <c r="AY216" s="223"/>
      <c r="AZ216" s="223"/>
      <c r="BB216" s="223"/>
      <c r="BE216" s="125">
        <v>190000</v>
      </c>
      <c r="BG216" s="125">
        <v>420000</v>
      </c>
      <c r="CI216" s="125" t="s">
        <v>260</v>
      </c>
      <c r="CJ216" s="125" t="s">
        <v>271</v>
      </c>
      <c r="CK216" s="125" t="s">
        <v>261</v>
      </c>
    </row>
    <row r="217" s="125" customFormat="1" customHeight="1" spans="1:91">
      <c r="A217" s="174">
        <v>179</v>
      </c>
      <c r="C217" s="184">
        <v>45343</v>
      </c>
      <c r="D217" s="125">
        <v>20240000900</v>
      </c>
      <c r="F217" s="1037" t="s">
        <v>4254</v>
      </c>
      <c r="G217" s="175" t="s">
        <v>4255</v>
      </c>
      <c r="H217" s="1040" t="s">
        <v>4256</v>
      </c>
      <c r="I217" s="125" t="s">
        <v>4257</v>
      </c>
      <c r="J217" s="125">
        <v>132.34</v>
      </c>
      <c r="K217" s="125">
        <v>132.34</v>
      </c>
      <c r="L217" s="125">
        <v>5307</v>
      </c>
      <c r="M217" s="282">
        <v>702328</v>
      </c>
      <c r="N217" s="223">
        <v>5207</v>
      </c>
      <c r="O217" s="165">
        <v>644337.61</v>
      </c>
      <c r="P217" s="1038" t="s">
        <v>4258</v>
      </c>
      <c r="Q217" s="210">
        <v>45846</v>
      </c>
      <c r="R217" s="223"/>
      <c r="S217" s="286"/>
      <c r="T217" s="292"/>
      <c r="U217" s="286" t="s">
        <v>546</v>
      </c>
      <c r="V217" s="223">
        <v>20000</v>
      </c>
      <c r="W217" s="286" t="s">
        <v>4259</v>
      </c>
      <c r="X217" s="223">
        <v>152328</v>
      </c>
      <c r="Y217" s="171" t="s">
        <v>3701</v>
      </c>
      <c r="Z217" s="125">
        <v>30000</v>
      </c>
      <c r="AA217" s="171" t="s">
        <v>3883</v>
      </c>
      <c r="AB217" s="223">
        <v>500000</v>
      </c>
      <c r="AC217" s="286" t="s">
        <v>3668</v>
      </c>
      <c r="AH217" s="223">
        <f t="shared" si="30"/>
        <v>702328</v>
      </c>
      <c r="AK217" s="171">
        <f t="shared" si="34"/>
        <v>0</v>
      </c>
      <c r="AL217" s="125">
        <v>17699244170</v>
      </c>
      <c r="AM217" s="175"/>
      <c r="AN217" s="287"/>
      <c r="AO217" s="125">
        <f t="shared" si="31"/>
        <v>702328</v>
      </c>
      <c r="AP217" s="169">
        <f>0.5%+0.14%</f>
        <v>0.0064</v>
      </c>
      <c r="AQ217" s="283">
        <f t="shared" si="32"/>
        <v>0</v>
      </c>
      <c r="AR217" s="223"/>
      <c r="AS217" s="223"/>
      <c r="AT217" s="223"/>
      <c r="AU217" s="223"/>
      <c r="AV217" s="223"/>
      <c r="AW217" s="223"/>
      <c r="AX217" s="223"/>
      <c r="AY217" s="223"/>
      <c r="AZ217" s="223"/>
      <c r="BB217" s="223"/>
      <c r="BF217" s="125">
        <v>202328</v>
      </c>
      <c r="BG217" s="125">
        <v>500000</v>
      </c>
      <c r="CI217" s="125" t="s">
        <v>260</v>
      </c>
      <c r="CJ217" s="125" t="s">
        <v>271</v>
      </c>
      <c r="CK217" s="125" t="s">
        <v>261</v>
      </c>
      <c r="CM217" s="125" t="e">
        <f>CK217-CL217</f>
        <v>#VALUE!</v>
      </c>
    </row>
    <row r="218" s="125" customFormat="1" customHeight="1" spans="1:91">
      <c r="A218" s="174">
        <v>180</v>
      </c>
      <c r="C218" s="184">
        <v>45707</v>
      </c>
      <c r="D218" s="125">
        <v>20250000715</v>
      </c>
      <c r="E218" s="125" t="s">
        <v>4260</v>
      </c>
      <c r="F218" s="1037" t="s">
        <v>4261</v>
      </c>
      <c r="G218" s="175" t="s">
        <v>4262</v>
      </c>
      <c r="H218" s="175"/>
      <c r="I218" s="125" t="s">
        <v>4263</v>
      </c>
      <c r="J218" s="125">
        <v>86.14</v>
      </c>
      <c r="K218" s="125">
        <v>86.14</v>
      </c>
      <c r="L218" s="125">
        <v>5200</v>
      </c>
      <c r="M218" s="282">
        <v>447928</v>
      </c>
      <c r="N218" s="223">
        <v>5257</v>
      </c>
      <c r="O218" s="165">
        <v>410943.12</v>
      </c>
      <c r="P218" s="1038" t="s">
        <v>4264</v>
      </c>
      <c r="Q218" s="210">
        <v>45854</v>
      </c>
      <c r="R218" s="223"/>
      <c r="S218" s="286"/>
      <c r="T218" s="292"/>
      <c r="U218" s="286"/>
      <c r="V218" s="223">
        <v>447928</v>
      </c>
      <c r="W218" s="286" t="s">
        <v>3326</v>
      </c>
      <c r="X218" s="223"/>
      <c r="Y218" s="171"/>
      <c r="AA218" s="171"/>
      <c r="AB218" s="223"/>
      <c r="AH218" s="223">
        <f t="shared" si="30"/>
        <v>447928</v>
      </c>
      <c r="AK218" s="171">
        <f t="shared" si="34"/>
        <v>0</v>
      </c>
      <c r="AM218" s="175"/>
      <c r="AN218" s="287"/>
      <c r="AO218" s="125">
        <f t="shared" si="31"/>
        <v>0</v>
      </c>
      <c r="AP218" s="166"/>
      <c r="AQ218" s="283">
        <f t="shared" si="32"/>
        <v>0</v>
      </c>
      <c r="AR218" s="223"/>
      <c r="AS218" s="223"/>
      <c r="AT218" s="223"/>
      <c r="AU218" s="223"/>
      <c r="AV218" s="223"/>
      <c r="AW218" s="223"/>
      <c r="AX218" s="223"/>
      <c r="AY218" s="223"/>
      <c r="AZ218" s="223"/>
      <c r="BB218" s="223"/>
      <c r="CI218" s="125" t="s">
        <v>260</v>
      </c>
      <c r="CK218" s="125" t="s">
        <v>261</v>
      </c>
    </row>
    <row r="219" s="125" customFormat="1" customHeight="1" spans="1:91">
      <c r="A219" s="174">
        <v>181</v>
      </c>
      <c r="C219" s="184">
        <v>45360</v>
      </c>
      <c r="D219" s="125">
        <v>20240001249</v>
      </c>
      <c r="F219" s="125" t="s">
        <v>4265</v>
      </c>
      <c r="G219" s="175" t="s">
        <v>4266</v>
      </c>
      <c r="H219" s="1040" t="s">
        <v>4267</v>
      </c>
      <c r="I219" s="125" t="s">
        <v>4268</v>
      </c>
      <c r="J219" s="125">
        <v>115.78</v>
      </c>
      <c r="K219" s="125">
        <v>115.78</v>
      </c>
      <c r="L219" s="125">
        <v>5285.88</v>
      </c>
      <c r="M219" s="282">
        <v>612000</v>
      </c>
      <c r="N219" s="223">
        <v>5217</v>
      </c>
      <c r="O219" s="165">
        <v>561467.89</v>
      </c>
      <c r="P219" s="1038" t="s">
        <v>4269</v>
      </c>
      <c r="Q219" s="210">
        <v>45854</v>
      </c>
      <c r="R219" s="223"/>
      <c r="S219" s="292"/>
      <c r="T219" s="292"/>
      <c r="U219" s="286"/>
      <c r="V219" s="223">
        <v>20000</v>
      </c>
      <c r="W219" s="286" t="s">
        <v>898</v>
      </c>
      <c r="X219" s="223">
        <v>102000</v>
      </c>
      <c r="Y219" s="286" t="s">
        <v>4270</v>
      </c>
      <c r="Z219" s="125">
        <v>29000</v>
      </c>
      <c r="AA219" s="171" t="s">
        <v>4271</v>
      </c>
      <c r="AB219" s="223">
        <v>461000</v>
      </c>
      <c r="AC219" s="292" t="s">
        <v>3952</v>
      </c>
      <c r="AH219" s="223">
        <f t="shared" si="30"/>
        <v>612000</v>
      </c>
      <c r="AK219" s="171">
        <f t="shared" si="34"/>
        <v>0</v>
      </c>
      <c r="AL219" s="1037" t="s">
        <v>4272</v>
      </c>
      <c r="AM219" s="175"/>
      <c r="AN219" s="287"/>
      <c r="AO219" s="125">
        <f t="shared" si="31"/>
        <v>612000</v>
      </c>
      <c r="AP219" s="169">
        <f>0.7%+0.03%+0.12%</f>
        <v>0.0085</v>
      </c>
      <c r="AQ219" s="283">
        <f t="shared" si="32"/>
        <v>0</v>
      </c>
      <c r="AR219" s="223"/>
      <c r="AS219" s="223"/>
      <c r="AT219" s="223"/>
      <c r="AU219" s="223"/>
      <c r="AV219" s="223"/>
      <c r="AW219" s="223"/>
      <c r="AX219" s="223"/>
      <c r="AY219" s="223"/>
      <c r="AZ219" s="223"/>
      <c r="BB219" s="223"/>
      <c r="BG219" s="125">
        <v>151000</v>
      </c>
      <c r="BI219" s="125">
        <v>461000</v>
      </c>
      <c r="CI219" s="125" t="s">
        <v>260</v>
      </c>
      <c r="CJ219" s="125" t="s">
        <v>271</v>
      </c>
      <c r="CK219" s="125" t="s">
        <v>261</v>
      </c>
    </row>
    <row r="220" s="125" customFormat="1" customHeight="1" spans="1:91">
      <c r="A220" s="174">
        <v>182</v>
      </c>
      <c r="C220" s="184">
        <v>45367</v>
      </c>
      <c r="D220" s="125">
        <v>20240001546</v>
      </c>
      <c r="F220" s="1037" t="s">
        <v>4273</v>
      </c>
      <c r="G220" s="175" t="s">
        <v>4274</v>
      </c>
      <c r="H220" s="1040" t="s">
        <v>4275</v>
      </c>
      <c r="I220" s="125" t="s">
        <v>4276</v>
      </c>
      <c r="J220" s="125">
        <v>132.34</v>
      </c>
      <c r="K220" s="125">
        <v>132.34</v>
      </c>
      <c r="L220" s="125">
        <f>M220/K220</f>
        <v>5289.40607526069</v>
      </c>
      <c r="M220" s="282">
        <v>700000</v>
      </c>
      <c r="N220" s="223">
        <v>5237</v>
      </c>
      <c r="O220" s="165">
        <v>642201.83</v>
      </c>
      <c r="P220" s="1038" t="s">
        <v>4277</v>
      </c>
      <c r="Q220" s="210">
        <v>45854</v>
      </c>
      <c r="R220" s="223"/>
      <c r="S220" s="286"/>
      <c r="T220" s="292"/>
      <c r="U220" s="286" t="s">
        <v>4278</v>
      </c>
      <c r="V220" s="223">
        <f>10000-10000</f>
        <v>0</v>
      </c>
      <c r="W220" s="286" t="s">
        <v>324</v>
      </c>
      <c r="X220" s="223">
        <f>10000+608000</f>
        <v>618000</v>
      </c>
      <c r="Y220" s="171"/>
      <c r="Z220" s="171">
        <v>82000</v>
      </c>
      <c r="AA220" s="125" t="s">
        <v>3933</v>
      </c>
      <c r="AB220" s="223"/>
      <c r="AH220" s="223">
        <f t="shared" si="30"/>
        <v>700000</v>
      </c>
      <c r="AK220" s="171">
        <f t="shared" si="34"/>
        <v>0</v>
      </c>
      <c r="AL220" s="125">
        <v>13039441680</v>
      </c>
      <c r="AM220" s="175"/>
      <c r="AN220" s="287"/>
      <c r="AO220" s="125">
        <f t="shared" si="31"/>
        <v>700000</v>
      </c>
      <c r="AP220" s="166">
        <f>0.4%+0.05%+0.12%</f>
        <v>0.0057</v>
      </c>
      <c r="AQ220" s="283">
        <f t="shared" si="32"/>
        <v>0</v>
      </c>
      <c r="AR220" s="223"/>
      <c r="AS220" s="223"/>
      <c r="AT220" s="223"/>
      <c r="AU220" s="223"/>
      <c r="AV220" s="223"/>
      <c r="AW220" s="223"/>
      <c r="AX220" s="223"/>
      <c r="AY220" s="223"/>
      <c r="AZ220" s="223"/>
      <c r="BB220" s="223"/>
      <c r="BG220" s="125">
        <v>700000</v>
      </c>
      <c r="CI220" s="125" t="s">
        <v>260</v>
      </c>
      <c r="CJ220" s="125" t="s">
        <v>271</v>
      </c>
      <c r="CK220" s="125" t="s">
        <v>261</v>
      </c>
    </row>
    <row r="221" s="125" customFormat="1" customHeight="1" spans="1:91">
      <c r="A221" s="174">
        <v>183</v>
      </c>
      <c r="C221" s="184">
        <v>45968</v>
      </c>
      <c r="D221" s="125">
        <v>20250005712</v>
      </c>
      <c r="E221" s="125" t="s">
        <v>4279</v>
      </c>
      <c r="F221" s="1037" t="s">
        <v>4280</v>
      </c>
      <c r="G221" s="175" t="s">
        <v>4281</v>
      </c>
      <c r="H221" s="175"/>
      <c r="I221" s="125" t="s">
        <v>4282</v>
      </c>
      <c r="J221" s="125">
        <v>86.14</v>
      </c>
      <c r="K221" s="125">
        <v>86.14</v>
      </c>
      <c r="L221" s="125">
        <v>5613.83</v>
      </c>
      <c r="M221" s="282">
        <v>483575</v>
      </c>
      <c r="N221" s="223">
        <v>5277</v>
      </c>
      <c r="O221" s="165">
        <v>443646.79</v>
      </c>
      <c r="P221" s="1038" t="s">
        <v>4283</v>
      </c>
      <c r="Q221" s="210">
        <v>45972</v>
      </c>
      <c r="R221" s="223"/>
      <c r="S221" s="286"/>
      <c r="T221" s="292"/>
      <c r="U221" s="286"/>
      <c r="V221" s="223">
        <v>483575</v>
      </c>
      <c r="W221" s="286">
        <v>45968</v>
      </c>
      <c r="X221" s="223"/>
      <c r="Y221" s="171"/>
      <c r="AA221" s="171"/>
      <c r="AB221" s="223"/>
      <c r="AH221" s="223">
        <f t="shared" si="30"/>
        <v>483575</v>
      </c>
      <c r="AK221" s="171">
        <f t="shared" si="34"/>
        <v>0</v>
      </c>
      <c r="AM221" s="175"/>
      <c r="AN221" s="287"/>
      <c r="AO221" s="125">
        <f t="shared" si="31"/>
        <v>0</v>
      </c>
      <c r="AP221" s="166"/>
      <c r="AQ221" s="283">
        <f t="shared" si="32"/>
        <v>0</v>
      </c>
      <c r="AR221" s="223"/>
      <c r="AS221" s="223"/>
      <c r="AT221" s="223"/>
      <c r="AU221" s="223"/>
      <c r="AV221" s="223"/>
      <c r="AW221" s="223"/>
      <c r="AX221" s="223"/>
      <c r="AY221" s="223"/>
      <c r="AZ221" s="223"/>
      <c r="BB221" s="223"/>
      <c r="CI221" s="125" t="s">
        <v>3258</v>
      </c>
      <c r="CK221" s="125" t="s">
        <v>4174</v>
      </c>
    </row>
    <row r="222" s="125" customFormat="1" customHeight="1" spans="1:91">
      <c r="A222" s="174">
        <v>184</v>
      </c>
      <c r="C222" s="184">
        <v>45358</v>
      </c>
      <c r="D222" s="125">
        <v>20240001205</v>
      </c>
      <c r="F222" s="1037" t="s">
        <v>4284</v>
      </c>
      <c r="G222" s="175" t="s">
        <v>4285</v>
      </c>
      <c r="H222" s="1040" t="s">
        <v>4286</v>
      </c>
      <c r="I222" s="125" t="s">
        <v>4287</v>
      </c>
      <c r="J222" s="125">
        <v>115.78</v>
      </c>
      <c r="K222" s="125">
        <v>115.78</v>
      </c>
      <c r="L222" s="125">
        <f>M222/K222</f>
        <v>5294.52409742615</v>
      </c>
      <c r="M222" s="282">
        <v>613000</v>
      </c>
      <c r="N222" s="223">
        <v>5247</v>
      </c>
      <c r="O222" s="165">
        <v>562385.32</v>
      </c>
      <c r="P222" s="1038" t="s">
        <v>4288</v>
      </c>
      <c r="Q222" s="210">
        <v>45854</v>
      </c>
      <c r="R222" s="223"/>
      <c r="S222" s="286"/>
      <c r="T222" s="292"/>
      <c r="U222" s="286" t="s">
        <v>561</v>
      </c>
      <c r="V222" s="223">
        <v>10000</v>
      </c>
      <c r="W222" s="286" t="s">
        <v>953</v>
      </c>
      <c r="X222" s="223">
        <v>293000</v>
      </c>
      <c r="Y222" s="286" t="s">
        <v>3752</v>
      </c>
      <c r="Z222" s="223">
        <v>310000</v>
      </c>
      <c r="AA222" s="286" t="s">
        <v>438</v>
      </c>
      <c r="AB222" s="223"/>
      <c r="AH222" s="223">
        <f t="shared" si="30"/>
        <v>613000</v>
      </c>
      <c r="AK222" s="171">
        <f t="shared" si="34"/>
        <v>0</v>
      </c>
      <c r="AL222" s="125">
        <v>17339883402</v>
      </c>
      <c r="AM222" s="175"/>
      <c r="AN222" s="287"/>
      <c r="AO222" s="125">
        <f t="shared" si="31"/>
        <v>613000</v>
      </c>
      <c r="AP222" s="169">
        <f t="shared" ref="AP222:AP226" si="35">0.7%+0.05%+0.14%</f>
        <v>0.0089</v>
      </c>
      <c r="AQ222" s="283">
        <f t="shared" si="32"/>
        <v>0</v>
      </c>
      <c r="AR222" s="223"/>
      <c r="AS222" s="223"/>
      <c r="AT222" s="223"/>
      <c r="AU222" s="223"/>
      <c r="AV222" s="223"/>
      <c r="AW222" s="223"/>
      <c r="AX222" s="223"/>
      <c r="AY222" s="223"/>
      <c r="AZ222" s="223"/>
      <c r="BB222" s="223"/>
      <c r="BG222" s="125">
        <v>303000</v>
      </c>
      <c r="BH222" s="125">
        <v>310000</v>
      </c>
      <c r="CI222" s="125" t="s">
        <v>260</v>
      </c>
      <c r="CJ222" s="125" t="s">
        <v>271</v>
      </c>
      <c r="CK222" s="125" t="s">
        <v>261</v>
      </c>
    </row>
    <row r="223" s="125" customFormat="1" customHeight="1" spans="1:91">
      <c r="A223" s="174">
        <v>185</v>
      </c>
      <c r="C223" s="184">
        <v>45342</v>
      </c>
      <c r="D223" s="125">
        <v>20240000896</v>
      </c>
      <c r="F223" s="1037" t="s">
        <v>4289</v>
      </c>
      <c r="G223" s="175" t="s">
        <v>4290</v>
      </c>
      <c r="H223" s="1040" t="s">
        <v>4291</v>
      </c>
      <c r="I223" s="125" t="s">
        <v>4292</v>
      </c>
      <c r="J223" s="125">
        <v>132.34</v>
      </c>
      <c r="K223" s="125">
        <v>132.34</v>
      </c>
      <c r="L223" s="125">
        <v>5471</v>
      </c>
      <c r="M223" s="282">
        <v>724000</v>
      </c>
      <c r="N223" s="223">
        <v>5284</v>
      </c>
      <c r="O223" s="165">
        <v>664220.18</v>
      </c>
      <c r="P223" s="1038" t="s">
        <v>4293</v>
      </c>
      <c r="Q223" s="210">
        <v>45854</v>
      </c>
      <c r="R223" s="223"/>
      <c r="S223" s="286"/>
      <c r="T223" s="292"/>
      <c r="U223" s="286" t="s">
        <v>561</v>
      </c>
      <c r="V223" s="223">
        <v>20000</v>
      </c>
      <c r="W223" s="286" t="s">
        <v>4294</v>
      </c>
      <c r="X223" s="223">
        <v>90000</v>
      </c>
      <c r="Y223" s="171" t="s">
        <v>911</v>
      </c>
      <c r="Z223" s="223">
        <v>35000</v>
      </c>
      <c r="AA223" s="286" t="s">
        <v>3787</v>
      </c>
      <c r="AB223" s="223">
        <v>579000</v>
      </c>
      <c r="AC223" s="286" t="s">
        <v>4295</v>
      </c>
      <c r="AH223" s="223">
        <f t="shared" si="30"/>
        <v>724000</v>
      </c>
      <c r="AK223" s="171">
        <f t="shared" ref="AK223:AK229" si="36">M223-AH223</f>
        <v>0</v>
      </c>
      <c r="AL223" s="125">
        <v>18096842951</v>
      </c>
      <c r="AM223" s="175"/>
      <c r="AN223" s="287"/>
      <c r="AO223" s="125">
        <f t="shared" si="31"/>
        <v>724000</v>
      </c>
      <c r="AP223" s="169">
        <f t="shared" si="35"/>
        <v>0.0089</v>
      </c>
      <c r="AQ223" s="283">
        <f t="shared" si="32"/>
        <v>0</v>
      </c>
      <c r="AR223" s="223"/>
      <c r="AS223" s="223"/>
      <c r="AT223" s="223"/>
      <c r="AU223" s="223"/>
      <c r="AV223" s="223"/>
      <c r="AW223" s="223"/>
      <c r="AX223" s="223"/>
      <c r="AY223" s="223"/>
      <c r="AZ223" s="223"/>
      <c r="BB223" s="223"/>
      <c r="BG223" s="125">
        <v>145000</v>
      </c>
      <c r="BH223" s="125">
        <v>579000</v>
      </c>
      <c r="CI223" s="125" t="s">
        <v>260</v>
      </c>
      <c r="CJ223" s="125" t="s">
        <v>271</v>
      </c>
      <c r="CK223" s="125" t="s">
        <v>261</v>
      </c>
    </row>
    <row r="224" s="101" customFormat="1" customHeight="1" spans="1:91">
      <c r="A224" s="238">
        <v>186</v>
      </c>
      <c r="C224" s="244"/>
      <c r="E224" s="101" t="s">
        <v>4296</v>
      </c>
      <c r="G224" s="244"/>
      <c r="H224" s="244"/>
      <c r="I224" s="101" t="s">
        <v>4297</v>
      </c>
      <c r="J224" s="101">
        <v>86.14</v>
      </c>
      <c r="M224" s="239"/>
      <c r="N224" s="242">
        <v>5315</v>
      </c>
      <c r="O224" s="157"/>
      <c r="P224" s="238"/>
      <c r="Q224" s="241"/>
      <c r="R224" s="242"/>
      <c r="S224" s="297"/>
      <c r="T224" s="298"/>
      <c r="U224" s="297"/>
      <c r="V224" s="242"/>
      <c r="W224" s="205"/>
      <c r="X224" s="242"/>
      <c r="Y224" s="205"/>
      <c r="AA224" s="205"/>
      <c r="AB224" s="242"/>
      <c r="AH224" s="242">
        <f t="shared" si="30"/>
        <v>0</v>
      </c>
      <c r="AK224" s="205"/>
      <c r="AM224" s="244"/>
      <c r="AN224" s="275"/>
      <c r="AO224" s="101">
        <f t="shared" si="31"/>
        <v>0</v>
      </c>
      <c r="AP224" s="158"/>
      <c r="AQ224" s="277">
        <f t="shared" si="32"/>
        <v>0</v>
      </c>
      <c r="AR224" s="242"/>
      <c r="AS224" s="242"/>
      <c r="AT224" s="242"/>
      <c r="AU224" s="242"/>
      <c r="AV224" s="242"/>
      <c r="AW224" s="242"/>
      <c r="AX224" s="242"/>
      <c r="AY224" s="242"/>
      <c r="AZ224" s="242"/>
      <c r="BB224" s="242"/>
    </row>
    <row r="225" s="125" customFormat="1" customHeight="1" spans="1:89">
      <c r="A225" s="174">
        <v>187</v>
      </c>
      <c r="C225" s="184">
        <v>45350</v>
      </c>
      <c r="D225" s="125">
        <v>20240001009</v>
      </c>
      <c r="F225" s="1037" t="s">
        <v>4298</v>
      </c>
      <c r="G225" s="175" t="s">
        <v>4299</v>
      </c>
      <c r="H225" s="1040" t="s">
        <v>4300</v>
      </c>
      <c r="I225" s="125" t="s">
        <v>4301</v>
      </c>
      <c r="J225" s="125">
        <v>115.78</v>
      </c>
      <c r="K225" s="125">
        <v>115.78</v>
      </c>
      <c r="L225" s="125">
        <v>5337.7</v>
      </c>
      <c r="M225" s="282">
        <v>618000</v>
      </c>
      <c r="N225" s="223">
        <v>5294</v>
      </c>
      <c r="O225" s="165">
        <v>566972.48</v>
      </c>
      <c r="P225" s="1038" t="s">
        <v>4302</v>
      </c>
      <c r="Q225" s="210">
        <v>45855</v>
      </c>
      <c r="R225" s="223"/>
      <c r="S225" s="286"/>
      <c r="T225" s="292"/>
      <c r="U225" s="286" t="s">
        <v>656</v>
      </c>
      <c r="V225" s="223">
        <v>20000</v>
      </c>
      <c r="W225" s="286" t="s">
        <v>4294</v>
      </c>
      <c r="X225" s="223">
        <v>128000</v>
      </c>
      <c r="Y225" s="171" t="s">
        <v>3883</v>
      </c>
      <c r="Z225" s="125">
        <v>150000</v>
      </c>
      <c r="AA225" s="171" t="s">
        <v>953</v>
      </c>
      <c r="AB225" s="223">
        <v>320000</v>
      </c>
      <c r="AC225" s="286" t="s">
        <v>268</v>
      </c>
      <c r="AH225" s="223">
        <f t="shared" si="30"/>
        <v>618000</v>
      </c>
      <c r="AK225" s="171">
        <f t="shared" si="36"/>
        <v>0</v>
      </c>
      <c r="AL225" s="125">
        <v>19990286915</v>
      </c>
      <c r="AM225" s="175"/>
      <c r="AN225" s="287"/>
      <c r="AO225" s="125">
        <f t="shared" si="31"/>
        <v>618000</v>
      </c>
      <c r="AP225" s="166">
        <f>0.5%+0.04%+0.14%</f>
        <v>0.0068</v>
      </c>
      <c r="AQ225" s="283">
        <f t="shared" si="32"/>
        <v>0</v>
      </c>
      <c r="AR225" s="223"/>
      <c r="AS225" s="223"/>
      <c r="AT225" s="223"/>
      <c r="AU225" s="223"/>
      <c r="AV225" s="223"/>
      <c r="AW225" s="223"/>
      <c r="AX225" s="223"/>
      <c r="AY225" s="223"/>
      <c r="AZ225" s="223"/>
      <c r="BB225" s="223"/>
      <c r="BF225" s="125">
        <v>298000</v>
      </c>
      <c r="BH225" s="125">
        <v>320000</v>
      </c>
      <c r="CI225" s="125" t="s">
        <v>260</v>
      </c>
      <c r="CJ225" s="125" t="s">
        <v>271</v>
      </c>
      <c r="CK225" s="125" t="s">
        <v>261</v>
      </c>
    </row>
    <row r="226" s="125" customFormat="1" customHeight="1" spans="1:89">
      <c r="A226" s="174">
        <v>188</v>
      </c>
      <c r="C226" s="184">
        <v>45373</v>
      </c>
      <c r="D226" s="125">
        <v>20240001551</v>
      </c>
      <c r="F226" s="1037" t="s">
        <v>4303</v>
      </c>
      <c r="G226" s="175" t="s">
        <v>4304</v>
      </c>
      <c r="H226" s="175"/>
      <c r="I226" s="125" t="s">
        <v>4305</v>
      </c>
      <c r="J226" s="125">
        <v>132.34</v>
      </c>
      <c r="K226" s="125">
        <v>132.34</v>
      </c>
      <c r="L226" s="125">
        <v>5380.08</v>
      </c>
      <c r="M226" s="282">
        <v>712000</v>
      </c>
      <c r="N226" s="223">
        <v>5317</v>
      </c>
      <c r="O226" s="165">
        <v>653211.01</v>
      </c>
      <c r="P226" s="1038" t="s">
        <v>4306</v>
      </c>
      <c r="Q226" s="210">
        <v>45855</v>
      </c>
      <c r="R226" s="223"/>
      <c r="S226" s="286"/>
      <c r="T226" s="292"/>
      <c r="U226" s="286" t="s">
        <v>294</v>
      </c>
      <c r="V226" s="223">
        <v>20000</v>
      </c>
      <c r="W226" s="171" t="s">
        <v>2805</v>
      </c>
      <c r="X226" s="125">
        <v>134000</v>
      </c>
      <c r="Y226" s="171" t="s">
        <v>4089</v>
      </c>
      <c r="Z226" s="223">
        <v>48000</v>
      </c>
      <c r="AA226" s="286" t="s">
        <v>4307</v>
      </c>
      <c r="AB226" s="125">
        <v>510000</v>
      </c>
      <c r="AC226" s="125" t="s">
        <v>4308</v>
      </c>
      <c r="AD226" s="125"/>
      <c r="AE226" s="125"/>
      <c r="AH226" s="223">
        <f t="shared" si="30"/>
        <v>712000</v>
      </c>
      <c r="AK226" s="171">
        <f t="shared" si="36"/>
        <v>0</v>
      </c>
      <c r="AL226" s="125">
        <v>13139969515</v>
      </c>
      <c r="AM226" s="175"/>
      <c r="AN226" s="287"/>
      <c r="AO226" s="125">
        <f t="shared" si="31"/>
        <v>712000</v>
      </c>
      <c r="AP226" s="169">
        <f>0.7%+0.05%+0.12%</f>
        <v>0.0087</v>
      </c>
      <c r="AQ226" s="283">
        <f t="shared" si="32"/>
        <v>0</v>
      </c>
      <c r="AR226" s="223"/>
      <c r="AS226" s="223"/>
      <c r="AT226" s="223"/>
      <c r="AU226" s="223"/>
      <c r="AV226" s="223"/>
      <c r="AW226" s="223"/>
      <c r="AX226" s="223"/>
      <c r="AY226" s="223"/>
      <c r="AZ226" s="223"/>
      <c r="BB226" s="223"/>
      <c r="BH226" s="125">
        <v>712000</v>
      </c>
      <c r="CI226" s="125" t="s">
        <v>260</v>
      </c>
      <c r="CJ226" s="125" t="s">
        <v>271</v>
      </c>
      <c r="CK226" s="125" t="s">
        <v>261</v>
      </c>
    </row>
    <row r="227" s="101" customFormat="1" customHeight="1" spans="1:89">
      <c r="A227" s="238">
        <v>189</v>
      </c>
      <c r="C227" s="244"/>
      <c r="E227" s="101" t="s">
        <v>4309</v>
      </c>
      <c r="G227" s="244"/>
      <c r="H227" s="244"/>
      <c r="I227" s="101" t="s">
        <v>4310</v>
      </c>
      <c r="J227" s="101">
        <v>86.14</v>
      </c>
      <c r="M227" s="239"/>
      <c r="N227" s="242">
        <v>5347</v>
      </c>
      <c r="O227" s="157"/>
      <c r="P227" s="238"/>
      <c r="Q227" s="241"/>
      <c r="R227" s="242"/>
      <c r="S227" s="297"/>
      <c r="T227" s="298"/>
      <c r="U227" s="297"/>
      <c r="V227" s="242"/>
      <c r="W227" s="205"/>
      <c r="X227" s="242"/>
      <c r="Y227" s="205"/>
      <c r="AA227" s="205"/>
      <c r="AB227" s="242"/>
      <c r="AH227" s="242">
        <f t="shared" si="30"/>
        <v>0</v>
      </c>
      <c r="AK227" s="205"/>
      <c r="AM227" s="244"/>
      <c r="AN227" s="275"/>
      <c r="AO227" s="101">
        <f t="shared" si="31"/>
        <v>0</v>
      </c>
      <c r="AP227" s="158"/>
      <c r="AQ227" s="277">
        <f t="shared" si="32"/>
        <v>0</v>
      </c>
      <c r="AR227" s="242"/>
      <c r="AS227" s="242"/>
      <c r="AT227" s="242"/>
      <c r="AU227" s="242"/>
      <c r="AV227" s="242"/>
      <c r="AW227" s="242"/>
      <c r="AX227" s="242"/>
      <c r="AY227" s="242"/>
      <c r="AZ227" s="242"/>
      <c r="BB227" s="242"/>
    </row>
    <row r="228" s="125" customFormat="1" customHeight="1" spans="1:89">
      <c r="A228" s="174">
        <v>190</v>
      </c>
      <c r="C228" s="184">
        <v>45369</v>
      </c>
      <c r="D228" s="125">
        <v>20240001462</v>
      </c>
      <c r="F228" s="1037" t="s">
        <v>4311</v>
      </c>
      <c r="G228" s="175" t="s">
        <v>4312</v>
      </c>
      <c r="H228" s="175"/>
      <c r="I228" s="125" t="s">
        <v>4313</v>
      </c>
      <c r="J228" s="125">
        <v>115.78</v>
      </c>
      <c r="K228" s="125">
        <v>115.78</v>
      </c>
      <c r="L228" s="125">
        <f>M228/K228</f>
        <v>5458.99982725859</v>
      </c>
      <c r="M228" s="282">
        <v>632043</v>
      </c>
      <c r="N228" s="223">
        <v>5327</v>
      </c>
      <c r="O228" s="165">
        <v>579855.96</v>
      </c>
      <c r="P228" s="1038" t="s">
        <v>4314</v>
      </c>
      <c r="Q228" s="210">
        <v>45855</v>
      </c>
      <c r="R228" s="223"/>
      <c r="S228" s="286"/>
      <c r="T228" s="292"/>
      <c r="U228" s="286" t="s">
        <v>370</v>
      </c>
      <c r="V228" s="223">
        <v>7043</v>
      </c>
      <c r="W228" s="286" t="s">
        <v>3883</v>
      </c>
      <c r="X228" s="223">
        <v>120000</v>
      </c>
      <c r="Y228" s="286" t="s">
        <v>2805</v>
      </c>
      <c r="Z228" s="125">
        <v>505000</v>
      </c>
      <c r="AA228" s="171" t="s">
        <v>526</v>
      </c>
      <c r="AB228" s="223"/>
      <c r="AH228" s="223">
        <f t="shared" si="30"/>
        <v>632043</v>
      </c>
      <c r="AK228" s="171">
        <f t="shared" si="36"/>
        <v>0</v>
      </c>
      <c r="AL228" s="125">
        <v>18153966967</v>
      </c>
      <c r="AM228" s="175"/>
      <c r="AN228" s="287"/>
      <c r="AO228" s="125">
        <f t="shared" si="31"/>
        <v>632043</v>
      </c>
      <c r="AP228" s="166">
        <f>0.5%+0.04%+0.14%</f>
        <v>0.0068</v>
      </c>
      <c r="AQ228" s="283">
        <f t="shared" si="32"/>
        <v>0</v>
      </c>
      <c r="AR228" s="223"/>
      <c r="AS228" s="223"/>
      <c r="AT228" s="223"/>
      <c r="AU228" s="223"/>
      <c r="AV228" s="223"/>
      <c r="AW228" s="223"/>
      <c r="AX228" s="223"/>
      <c r="AY228" s="223"/>
      <c r="AZ228" s="223"/>
      <c r="BB228" s="223"/>
      <c r="BG228" s="125">
        <v>632043</v>
      </c>
      <c r="CI228" s="125" t="s">
        <v>260</v>
      </c>
      <c r="CJ228" s="125" t="s">
        <v>271</v>
      </c>
      <c r="CK228" s="125" t="s">
        <v>261</v>
      </c>
    </row>
    <row r="229" s="125" customFormat="1" customHeight="1" spans="1:89">
      <c r="A229" s="174">
        <v>191</v>
      </c>
      <c r="C229" s="184">
        <v>45390</v>
      </c>
      <c r="D229" s="125">
        <v>20240001966</v>
      </c>
      <c r="F229" s="1037" t="s">
        <v>4315</v>
      </c>
      <c r="G229" s="175" t="s">
        <v>4316</v>
      </c>
      <c r="H229" s="1040" t="s">
        <v>4317</v>
      </c>
      <c r="I229" s="125" t="s">
        <v>4318</v>
      </c>
      <c r="J229" s="125">
        <v>132.34</v>
      </c>
      <c r="K229" s="125">
        <v>132.34</v>
      </c>
      <c r="L229" s="125">
        <v>5425.42</v>
      </c>
      <c r="M229" s="282">
        <v>718000</v>
      </c>
      <c r="N229" s="223">
        <v>5354</v>
      </c>
      <c r="O229" s="165">
        <v>658715.6</v>
      </c>
      <c r="P229" s="1038" t="s">
        <v>4319</v>
      </c>
      <c r="Q229" s="210">
        <v>45855</v>
      </c>
      <c r="R229" s="223"/>
      <c r="S229" s="286"/>
      <c r="T229" s="292"/>
      <c r="U229" s="286" t="s">
        <v>561</v>
      </c>
      <c r="V229" s="223">
        <v>10000</v>
      </c>
      <c r="W229" s="286" t="s">
        <v>295</v>
      </c>
      <c r="X229" s="223">
        <v>70000</v>
      </c>
      <c r="Y229" s="286" t="s">
        <v>4035</v>
      </c>
      <c r="Z229" s="125">
        <v>20000</v>
      </c>
      <c r="AA229" s="171" t="s">
        <v>4307</v>
      </c>
      <c r="AB229" s="223">
        <v>44000</v>
      </c>
      <c r="AC229" s="286" t="s">
        <v>3952</v>
      </c>
      <c r="AD229" s="125">
        <v>574000</v>
      </c>
      <c r="AE229" s="125" t="s">
        <v>715</v>
      </c>
      <c r="AH229" s="223">
        <f t="shared" si="30"/>
        <v>718000</v>
      </c>
      <c r="AK229" s="171">
        <f t="shared" si="36"/>
        <v>0</v>
      </c>
      <c r="AL229" s="125">
        <v>18195787228</v>
      </c>
      <c r="AM229" s="175"/>
      <c r="AN229" s="287"/>
      <c r="AO229" s="125">
        <f t="shared" si="31"/>
        <v>718000</v>
      </c>
      <c r="AP229" s="166">
        <f>0.4%+0.05%+0.12%</f>
        <v>0.0057</v>
      </c>
      <c r="AQ229" s="283">
        <f t="shared" si="32"/>
        <v>0</v>
      </c>
      <c r="AR229" s="223"/>
      <c r="AS229" s="223"/>
      <c r="AT229" s="223"/>
      <c r="AU229" s="223"/>
      <c r="AV229" s="223"/>
      <c r="AW229" s="223"/>
      <c r="AX229" s="223"/>
      <c r="AY229" s="223"/>
      <c r="AZ229" s="223"/>
      <c r="BB229" s="223"/>
      <c r="BI229" s="125">
        <v>718000</v>
      </c>
      <c r="CI229" s="125" t="s">
        <v>260</v>
      </c>
      <c r="CJ229" s="125" t="s">
        <v>271</v>
      </c>
      <c r="CK229" s="125" t="s">
        <v>261</v>
      </c>
    </row>
    <row r="230" s="101" customFormat="1" customHeight="1" spans="1:89">
      <c r="A230" s="238">
        <v>192</v>
      </c>
      <c r="C230" s="244"/>
      <c r="E230" s="101" t="s">
        <v>4320</v>
      </c>
      <c r="G230" s="244"/>
      <c r="H230" s="244"/>
      <c r="I230" s="101" t="s">
        <v>4321</v>
      </c>
      <c r="J230" s="101">
        <v>86.14</v>
      </c>
      <c r="M230" s="239"/>
      <c r="N230" s="242">
        <v>5377</v>
      </c>
      <c r="O230" s="157"/>
      <c r="P230" s="275"/>
      <c r="Q230" s="241"/>
      <c r="R230" s="242"/>
      <c r="S230" s="297"/>
      <c r="T230" s="298"/>
      <c r="U230" s="297"/>
      <c r="V230" s="242"/>
      <c r="W230" s="205"/>
      <c r="X230" s="242"/>
      <c r="Y230" s="205"/>
      <c r="AA230" s="205"/>
      <c r="AB230" s="242"/>
      <c r="AH230" s="242">
        <f t="shared" si="30"/>
        <v>0</v>
      </c>
      <c r="AK230" s="205"/>
      <c r="AM230" s="244"/>
      <c r="AN230" s="275"/>
      <c r="AO230" s="101">
        <f t="shared" si="31"/>
        <v>0</v>
      </c>
      <c r="AP230" s="158"/>
      <c r="AQ230" s="277">
        <f t="shared" si="32"/>
        <v>0</v>
      </c>
      <c r="AR230" s="242"/>
      <c r="AS230" s="242"/>
      <c r="AT230" s="242"/>
      <c r="AU230" s="242"/>
      <c r="AV230" s="242"/>
      <c r="AW230" s="242"/>
      <c r="AX230" s="242"/>
      <c r="AY230" s="242"/>
      <c r="AZ230" s="242"/>
      <c r="BB230" s="242"/>
    </row>
    <row r="231" s="125" customFormat="1" customHeight="1" spans="1:89">
      <c r="A231" s="174">
        <v>193</v>
      </c>
      <c r="C231" s="184">
        <v>45351</v>
      </c>
      <c r="D231" s="125">
        <v>20240001058</v>
      </c>
      <c r="F231" s="1037" t="s">
        <v>4322</v>
      </c>
      <c r="G231" s="175" t="s">
        <v>4323</v>
      </c>
      <c r="H231" s="1040" t="s">
        <v>4324</v>
      </c>
      <c r="I231" s="125" t="s">
        <v>4325</v>
      </c>
      <c r="J231" s="125">
        <v>115.78</v>
      </c>
      <c r="K231" s="125">
        <v>115.78</v>
      </c>
      <c r="L231" s="125">
        <v>5398.16</v>
      </c>
      <c r="M231" s="282">
        <v>625000</v>
      </c>
      <c r="N231" s="223">
        <v>5364</v>
      </c>
      <c r="O231" s="165">
        <v>573394.5</v>
      </c>
      <c r="P231" s="1038" t="s">
        <v>4326</v>
      </c>
      <c r="Q231" s="210">
        <v>45855</v>
      </c>
      <c r="R231" s="223"/>
      <c r="S231" s="286"/>
      <c r="T231" s="292"/>
      <c r="U231" s="286" t="s">
        <v>2160</v>
      </c>
      <c r="V231" s="223">
        <v>20000</v>
      </c>
      <c r="W231" s="286" t="s">
        <v>3845</v>
      </c>
      <c r="X231" s="223">
        <f>100500+4500</f>
        <v>105000</v>
      </c>
      <c r="Y231" s="286" t="s">
        <v>363</v>
      </c>
      <c r="Z231" s="125">
        <v>500000</v>
      </c>
      <c r="AA231" s="171" t="s">
        <v>3788</v>
      </c>
      <c r="AB231" s="223"/>
      <c r="AH231" s="223">
        <f t="shared" si="30"/>
        <v>625000</v>
      </c>
      <c r="AK231" s="171">
        <f>M231-AH231</f>
        <v>0</v>
      </c>
      <c r="AL231" s="125">
        <v>17797976009</v>
      </c>
      <c r="AM231" s="175"/>
      <c r="AN231" s="287"/>
      <c r="AO231" s="125">
        <f t="shared" si="31"/>
        <v>625000</v>
      </c>
      <c r="AP231" s="169">
        <f>0.7%+0.04%+0.14%</f>
        <v>0.0088</v>
      </c>
      <c r="AQ231" s="283">
        <f t="shared" si="32"/>
        <v>0</v>
      </c>
      <c r="AR231" s="223"/>
      <c r="AS231" s="223"/>
      <c r="AT231" s="223"/>
      <c r="AU231" s="223"/>
      <c r="AV231" s="223"/>
      <c r="AW231" s="223"/>
      <c r="AX231" s="223"/>
      <c r="AY231" s="223"/>
      <c r="AZ231" s="223"/>
      <c r="BB231" s="223"/>
      <c r="BG231" s="125">
        <v>625000</v>
      </c>
      <c r="CI231" s="125" t="s">
        <v>260</v>
      </c>
      <c r="CJ231" s="125" t="s">
        <v>271</v>
      </c>
      <c r="CK231" s="125" t="s">
        <v>261</v>
      </c>
    </row>
    <row r="232" s="125" customFormat="1" customHeight="1" spans="1:89">
      <c r="A232" s="174">
        <v>194</v>
      </c>
      <c r="C232" s="184">
        <v>45392</v>
      </c>
      <c r="D232" s="125">
        <v>20240001994</v>
      </c>
      <c r="F232" s="1037" t="s">
        <v>4327</v>
      </c>
      <c r="G232" s="175" t="s">
        <v>4328</v>
      </c>
      <c r="H232" s="1040" t="s">
        <v>4329</v>
      </c>
      <c r="I232" s="125" t="s">
        <v>4330</v>
      </c>
      <c r="J232" s="125">
        <v>132.34</v>
      </c>
      <c r="K232" s="125">
        <v>132.34</v>
      </c>
      <c r="L232" s="125">
        <v>5440.53</v>
      </c>
      <c r="M232" s="282">
        <v>720000</v>
      </c>
      <c r="N232" s="223">
        <v>5382</v>
      </c>
      <c r="O232" s="165">
        <v>660550.46</v>
      </c>
      <c r="P232" s="1038" t="s">
        <v>4331</v>
      </c>
      <c r="Q232" s="210">
        <v>45855</v>
      </c>
      <c r="R232" s="223"/>
      <c r="S232" s="286"/>
      <c r="T232" s="292"/>
      <c r="U232" s="286" t="s">
        <v>294</v>
      </c>
      <c r="V232" s="223">
        <v>20000</v>
      </c>
      <c r="W232" s="286" t="s">
        <v>3951</v>
      </c>
      <c r="X232" s="223">
        <v>50000</v>
      </c>
      <c r="Y232" s="171" t="s">
        <v>3663</v>
      </c>
      <c r="Z232" s="125">
        <v>66000</v>
      </c>
      <c r="AA232" s="171" t="s">
        <v>4307</v>
      </c>
      <c r="AB232" s="223">
        <v>14000</v>
      </c>
      <c r="AC232" s="125" t="s">
        <v>296</v>
      </c>
      <c r="AD232" s="223">
        <v>570000</v>
      </c>
      <c r="AE232" s="286" t="s">
        <v>715</v>
      </c>
      <c r="AH232" s="223">
        <f t="shared" si="30"/>
        <v>720000</v>
      </c>
      <c r="AK232" s="171">
        <f>M232-AH232</f>
        <v>0</v>
      </c>
      <c r="AL232" s="125">
        <v>18096840581</v>
      </c>
      <c r="AM232" s="175"/>
      <c r="AN232" s="287"/>
      <c r="AO232" s="125">
        <f t="shared" si="31"/>
        <v>720000</v>
      </c>
      <c r="AP232" s="166">
        <f>0.7%+0.12%</f>
        <v>0.0082</v>
      </c>
      <c r="AQ232" s="283">
        <f t="shared" si="32"/>
        <v>0</v>
      </c>
      <c r="AR232" s="223"/>
      <c r="AS232" s="223"/>
      <c r="AT232" s="223"/>
      <c r="AU232" s="223"/>
      <c r="AV232" s="223"/>
      <c r="AW232" s="223"/>
      <c r="AX232" s="223"/>
      <c r="AY232" s="223"/>
      <c r="AZ232" s="223"/>
      <c r="BB232" s="223"/>
      <c r="BH232" s="125">
        <v>150000</v>
      </c>
      <c r="BI232" s="125">
        <v>570000</v>
      </c>
      <c r="CI232" s="125" t="s">
        <v>260</v>
      </c>
      <c r="CJ232" s="125" t="s">
        <v>271</v>
      </c>
      <c r="CK232" s="125" t="s">
        <v>261</v>
      </c>
    </row>
    <row r="233" s="125" customFormat="1" customHeight="1" spans="1:89">
      <c r="A233" s="174">
        <v>195</v>
      </c>
      <c r="C233" s="184">
        <v>45938</v>
      </c>
      <c r="D233" s="125">
        <v>20250005211</v>
      </c>
      <c r="E233" s="125" t="s">
        <v>4332</v>
      </c>
      <c r="F233" s="1037" t="s">
        <v>4333</v>
      </c>
      <c r="G233" s="175" t="s">
        <v>4334</v>
      </c>
      <c r="H233" s="175"/>
      <c r="I233" s="125" t="s">
        <v>4335</v>
      </c>
      <c r="J233" s="125">
        <v>86.14</v>
      </c>
      <c r="K233" s="125">
        <v>86.14</v>
      </c>
      <c r="L233" s="125">
        <v>5736.17</v>
      </c>
      <c r="M233" s="282">
        <v>494114</v>
      </c>
      <c r="N233" s="223">
        <v>5392</v>
      </c>
      <c r="O233" s="165">
        <v>453315.6</v>
      </c>
      <c r="P233" s="1038" t="s">
        <v>4336</v>
      </c>
      <c r="Q233" s="210">
        <v>45961</v>
      </c>
      <c r="R233" s="223"/>
      <c r="S233" s="286"/>
      <c r="T233" s="292"/>
      <c r="U233" s="286"/>
      <c r="V233" s="223">
        <v>494114</v>
      </c>
      <c r="W233" s="286">
        <v>45923</v>
      </c>
      <c r="X233" s="223"/>
      <c r="Y233" s="171"/>
      <c r="AA233" s="171"/>
      <c r="AB233" s="223"/>
      <c r="AH233" s="223">
        <f t="shared" si="30"/>
        <v>494114</v>
      </c>
      <c r="AK233" s="171">
        <f>M233-AH233</f>
        <v>0</v>
      </c>
      <c r="AM233" s="175"/>
      <c r="AN233" s="287"/>
      <c r="AO233" s="125">
        <f t="shared" si="31"/>
        <v>0</v>
      </c>
      <c r="AP233" s="166"/>
      <c r="AQ233" s="283">
        <f t="shared" si="32"/>
        <v>0</v>
      </c>
      <c r="AR233" s="223"/>
      <c r="AS233" s="223"/>
      <c r="AT233" s="223"/>
      <c r="AU233" s="223"/>
      <c r="AV233" s="223"/>
      <c r="AW233" s="223"/>
      <c r="AX233" s="223"/>
      <c r="AY233" s="223"/>
      <c r="AZ233" s="223"/>
      <c r="BB233" s="223"/>
      <c r="CI233" s="125" t="s">
        <v>3258</v>
      </c>
      <c r="CK233" s="125" t="s">
        <v>4337</v>
      </c>
    </row>
    <row r="234" s="125" customFormat="1" customHeight="1" spans="1:89">
      <c r="A234" s="174">
        <v>196</v>
      </c>
      <c r="C234" s="184">
        <v>45358</v>
      </c>
      <c r="D234" s="125">
        <v>20240001204</v>
      </c>
      <c r="F234" s="1037" t="s">
        <v>4338</v>
      </c>
      <c r="G234" s="175" t="s">
        <v>4339</v>
      </c>
      <c r="H234" s="1040" t="s">
        <v>4340</v>
      </c>
      <c r="I234" s="125" t="s">
        <v>4341</v>
      </c>
      <c r="J234" s="125">
        <v>115.78</v>
      </c>
      <c r="K234" s="125">
        <v>115.78</v>
      </c>
      <c r="L234" s="125">
        <f>M234/K234</f>
        <v>5400</v>
      </c>
      <c r="M234" s="282">
        <v>625212</v>
      </c>
      <c r="N234" s="223">
        <v>5392</v>
      </c>
      <c r="O234" s="165">
        <v>573588.99</v>
      </c>
      <c r="P234" s="1038" t="s">
        <v>4342</v>
      </c>
      <c r="Q234" s="210">
        <v>45855</v>
      </c>
      <c r="R234" s="223"/>
      <c r="S234" s="286"/>
      <c r="T234" s="292"/>
      <c r="U234" s="286" t="s">
        <v>2160</v>
      </c>
      <c r="V234" s="223">
        <v>10000</v>
      </c>
      <c r="W234" s="286" t="s">
        <v>363</v>
      </c>
      <c r="X234" s="223">
        <v>178212</v>
      </c>
      <c r="Y234" s="171" t="s">
        <v>3752</v>
      </c>
      <c r="Z234" s="223">
        <v>437000</v>
      </c>
      <c r="AA234" s="286" t="s">
        <v>392</v>
      </c>
      <c r="AB234" s="223"/>
      <c r="AH234" s="223">
        <f t="shared" si="30"/>
        <v>625212</v>
      </c>
      <c r="AK234" s="171">
        <f>M234-AH234</f>
        <v>0</v>
      </c>
      <c r="AL234" s="125">
        <v>18699553280</v>
      </c>
      <c r="AM234" s="175"/>
      <c r="AN234" s="287"/>
      <c r="AO234" s="125">
        <f t="shared" si="31"/>
        <v>625212</v>
      </c>
      <c r="AP234" s="169">
        <f>0.7%+0.04%+0.14%</f>
        <v>0.0088</v>
      </c>
      <c r="AQ234" s="283">
        <f t="shared" si="32"/>
        <v>0</v>
      </c>
      <c r="AR234" s="223"/>
      <c r="AS234" s="223"/>
      <c r="AT234" s="223"/>
      <c r="AU234" s="223"/>
      <c r="AV234" s="223"/>
      <c r="AW234" s="223"/>
      <c r="AX234" s="223"/>
      <c r="AY234" s="223"/>
      <c r="AZ234" s="223"/>
      <c r="BB234" s="223"/>
      <c r="BG234" s="125">
        <v>188212</v>
      </c>
      <c r="BO234" s="125">
        <v>437000</v>
      </c>
      <c r="CI234" s="125" t="s">
        <v>260</v>
      </c>
      <c r="CJ234" s="125" t="s">
        <v>271</v>
      </c>
      <c r="CK234" s="125" t="s">
        <v>261</v>
      </c>
    </row>
    <row r="235" s="125" customFormat="1" customHeight="1" spans="1:89">
      <c r="A235" s="174">
        <v>197</v>
      </c>
      <c r="C235" s="184">
        <v>45414</v>
      </c>
      <c r="D235" s="125">
        <v>20240002484</v>
      </c>
      <c r="F235" s="1037" t="s">
        <v>4343</v>
      </c>
      <c r="G235" s="175" t="s">
        <v>4344</v>
      </c>
      <c r="H235" s="1040" t="s">
        <v>4345</v>
      </c>
      <c r="I235" s="125" t="s">
        <v>4346</v>
      </c>
      <c r="J235" s="125">
        <v>132.34</v>
      </c>
      <c r="K235" s="125">
        <v>132.34</v>
      </c>
      <c r="L235" s="125">
        <f>M235/K235</f>
        <v>5417.86307994559</v>
      </c>
      <c r="M235" s="282">
        <v>717000</v>
      </c>
      <c r="N235" s="223">
        <v>5407</v>
      </c>
      <c r="O235" s="165">
        <v>657798.17</v>
      </c>
      <c r="P235" s="1038" t="s">
        <v>4347</v>
      </c>
      <c r="Q235" s="210">
        <v>45855</v>
      </c>
      <c r="R235" s="223"/>
      <c r="S235" s="286"/>
      <c r="T235" s="292"/>
      <c r="U235" s="286" t="s">
        <v>656</v>
      </c>
      <c r="V235" s="223">
        <v>20000</v>
      </c>
      <c r="W235" s="286" t="s">
        <v>3951</v>
      </c>
      <c r="X235" s="223">
        <v>127000</v>
      </c>
      <c r="Y235" s="286" t="s">
        <v>3745</v>
      </c>
      <c r="Z235" s="223">
        <v>570000</v>
      </c>
      <c r="AA235" s="286" t="s">
        <v>3676</v>
      </c>
      <c r="AB235" s="223"/>
      <c r="AH235" s="223">
        <f t="shared" si="30"/>
        <v>717000</v>
      </c>
      <c r="AK235" s="171">
        <f t="shared" ref="AK235:AK244" si="37">M235-AH235</f>
        <v>0</v>
      </c>
      <c r="AM235" s="175"/>
      <c r="AN235" s="287"/>
      <c r="AO235" s="125">
        <f t="shared" si="31"/>
        <v>717000</v>
      </c>
      <c r="AP235" s="166">
        <f>0.7%+0.02%+0.12%</f>
        <v>0.0084</v>
      </c>
      <c r="AQ235" s="283">
        <f t="shared" si="32"/>
        <v>0</v>
      </c>
      <c r="AR235" s="223"/>
      <c r="AS235" s="223"/>
      <c r="AT235" s="223"/>
      <c r="AU235" s="223"/>
      <c r="AV235" s="223"/>
      <c r="AW235" s="223"/>
      <c r="AX235" s="223"/>
      <c r="AY235" s="223"/>
      <c r="AZ235" s="223"/>
      <c r="BB235" s="223"/>
      <c r="BI235" s="125">
        <v>147000</v>
      </c>
      <c r="BJ235" s="125">
        <v>570000</v>
      </c>
      <c r="CI235" s="125" t="s">
        <v>260</v>
      </c>
      <c r="CJ235" s="125" t="s">
        <v>271</v>
      </c>
      <c r="CK235" s="125" t="s">
        <v>261</v>
      </c>
    </row>
    <row r="236" s="125" customFormat="1" customHeight="1" spans="1:89">
      <c r="A236" s="174">
        <v>198</v>
      </c>
      <c r="B236" s="125"/>
      <c r="C236" s="184">
        <v>46030</v>
      </c>
      <c r="D236" s="125">
        <v>20260000103</v>
      </c>
      <c r="E236" s="125" t="s">
        <v>3903</v>
      </c>
      <c r="F236" s="1037" t="s">
        <v>4348</v>
      </c>
      <c r="G236" s="175" t="s">
        <v>4349</v>
      </c>
      <c r="H236" s="175"/>
      <c r="I236" s="125" t="s">
        <v>4350</v>
      </c>
      <c r="J236" s="125">
        <v>86.14</v>
      </c>
      <c r="K236" s="125">
        <v>86.14</v>
      </c>
      <c r="L236" s="125">
        <v>5224.05</v>
      </c>
      <c r="M236" s="282">
        <v>450000</v>
      </c>
      <c r="N236" s="223">
        <v>5412</v>
      </c>
      <c r="O236" s="165" t="s">
        <v>4351</v>
      </c>
      <c r="P236" s="1038" t="s">
        <v>4352</v>
      </c>
      <c r="Q236" s="210">
        <v>46031</v>
      </c>
      <c r="R236" s="223"/>
      <c r="S236" s="286"/>
      <c r="T236" s="292"/>
      <c r="U236" s="286"/>
      <c r="V236" s="223">
        <v>260000</v>
      </c>
      <c r="W236" s="286">
        <v>46030</v>
      </c>
      <c r="X236" s="223">
        <v>190000</v>
      </c>
      <c r="Y236" s="171" t="s">
        <v>696</v>
      </c>
      <c r="Z236" s="125"/>
      <c r="AA236" s="171"/>
      <c r="AB236" s="223"/>
      <c r="AC236" s="125"/>
      <c r="AD236" s="125"/>
      <c r="AE236" s="125"/>
      <c r="AF236" s="125"/>
      <c r="AG236" s="125"/>
      <c r="AH236" s="223">
        <f t="shared" si="30"/>
        <v>450000</v>
      </c>
      <c r="AK236" s="171">
        <f t="shared" si="37"/>
        <v>0</v>
      </c>
      <c r="AL236" s="101"/>
      <c r="AM236" s="244"/>
      <c r="AN236" s="275"/>
      <c r="AO236" s="125">
        <f t="shared" si="31"/>
        <v>0</v>
      </c>
      <c r="AP236" s="166"/>
      <c r="AQ236" s="283">
        <f t="shared" si="32"/>
        <v>0</v>
      </c>
      <c r="AR236" s="242"/>
      <c r="AS236" s="242"/>
      <c r="AT236" s="242"/>
      <c r="AU236" s="242"/>
      <c r="AV236" s="242"/>
      <c r="AW236" s="242"/>
      <c r="AX236" s="242"/>
      <c r="AY236" s="242"/>
      <c r="AZ236" s="242"/>
      <c r="BA236" s="101"/>
      <c r="BB236" s="242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I236" s="125" t="s">
        <v>260</v>
      </c>
      <c r="CK236" s="125" t="s">
        <v>4353</v>
      </c>
    </row>
    <row r="237" s="125" customFormat="1" customHeight="1" spans="1:89">
      <c r="A237" s="174">
        <v>199</v>
      </c>
      <c r="C237" s="184">
        <v>45356</v>
      </c>
      <c r="D237" s="125">
        <v>20240001177</v>
      </c>
      <c r="F237" s="1037" t="s">
        <v>4354</v>
      </c>
      <c r="G237" s="175" t="s">
        <v>4355</v>
      </c>
      <c r="H237" s="1040" t="s">
        <v>4356</v>
      </c>
      <c r="I237" s="125" t="s">
        <v>4357</v>
      </c>
      <c r="J237" s="125">
        <v>115.78</v>
      </c>
      <c r="K237" s="125">
        <v>115.78</v>
      </c>
      <c r="L237" s="125">
        <v>5467</v>
      </c>
      <c r="M237" s="282">
        <v>633000</v>
      </c>
      <c r="N237" s="223">
        <v>5417</v>
      </c>
      <c r="O237" s="165">
        <v>580733.94</v>
      </c>
      <c r="P237" s="1038" t="s">
        <v>4358</v>
      </c>
      <c r="Q237" s="210">
        <v>45855</v>
      </c>
      <c r="R237" s="223"/>
      <c r="S237" s="286"/>
      <c r="T237" s="292"/>
      <c r="U237" s="286" t="s">
        <v>294</v>
      </c>
      <c r="V237" s="223">
        <v>10000</v>
      </c>
      <c r="W237" s="286" t="s">
        <v>363</v>
      </c>
      <c r="X237" s="223">
        <v>63000</v>
      </c>
      <c r="Y237" s="171" t="s">
        <v>753</v>
      </c>
      <c r="Z237" s="125">
        <v>80000</v>
      </c>
      <c r="AA237" s="171" t="s">
        <v>3809</v>
      </c>
      <c r="AB237" s="223">
        <v>480000</v>
      </c>
      <c r="AC237" s="286" t="s">
        <v>268</v>
      </c>
      <c r="AH237" s="223">
        <f t="shared" si="30"/>
        <v>633000</v>
      </c>
      <c r="AK237" s="171">
        <f t="shared" si="37"/>
        <v>0</v>
      </c>
      <c r="AL237" s="125">
        <v>15909727756</v>
      </c>
      <c r="AM237" s="175"/>
      <c r="AN237" s="287"/>
      <c r="AO237" s="125">
        <f t="shared" si="31"/>
        <v>633000</v>
      </c>
      <c r="AP237" s="169">
        <f>0.7%+0.05%+0.14%</f>
        <v>0.0089</v>
      </c>
      <c r="AQ237" s="283">
        <f t="shared" si="32"/>
        <v>0</v>
      </c>
      <c r="AR237" s="223"/>
      <c r="AS237" s="223"/>
      <c r="AT237" s="223"/>
      <c r="AU237" s="223"/>
      <c r="AV237" s="223"/>
      <c r="AW237" s="223"/>
      <c r="AX237" s="223"/>
      <c r="AY237" s="223"/>
      <c r="AZ237" s="223"/>
      <c r="BB237" s="223"/>
      <c r="BG237" s="125">
        <v>153000</v>
      </c>
      <c r="BH237" s="125">
        <v>480000</v>
      </c>
      <c r="CI237" s="125" t="s">
        <v>260</v>
      </c>
      <c r="CJ237" s="125" t="s">
        <v>271</v>
      </c>
      <c r="CK237" s="125" t="s">
        <v>261</v>
      </c>
    </row>
    <row r="238" s="125" customFormat="1" customHeight="1" spans="1:89">
      <c r="A238" s="174">
        <v>200</v>
      </c>
      <c r="C238" s="184">
        <v>45498</v>
      </c>
      <c r="D238" s="125">
        <v>20240004248</v>
      </c>
      <c r="F238" s="1037" t="s">
        <v>4359</v>
      </c>
      <c r="G238" s="175" t="s">
        <v>4360</v>
      </c>
      <c r="H238" s="1040" t="s">
        <v>4361</v>
      </c>
      <c r="I238" s="125" t="s">
        <v>4362</v>
      </c>
      <c r="J238" s="125">
        <v>132.34</v>
      </c>
      <c r="K238" s="125">
        <v>132.34</v>
      </c>
      <c r="L238" s="125">
        <f>M238/K238</f>
        <v>5100</v>
      </c>
      <c r="M238" s="282">
        <v>674934</v>
      </c>
      <c r="N238" s="223">
        <v>5100</v>
      </c>
      <c r="O238" s="165">
        <v>619205.5</v>
      </c>
      <c r="P238" s="1038" t="s">
        <v>4363</v>
      </c>
      <c r="Q238" s="210">
        <v>45855</v>
      </c>
      <c r="R238" s="223"/>
      <c r="S238" s="286"/>
      <c r="T238" s="292"/>
      <c r="U238" s="286" t="s">
        <v>561</v>
      </c>
      <c r="V238" s="223">
        <v>10000</v>
      </c>
      <c r="W238" s="286" t="s">
        <v>356</v>
      </c>
      <c r="X238" s="223">
        <v>20000</v>
      </c>
      <c r="Y238" s="171" t="s">
        <v>4364</v>
      </c>
      <c r="Z238" s="125">
        <v>74934</v>
      </c>
      <c r="AA238" s="171" t="s">
        <v>4365</v>
      </c>
      <c r="AB238" s="223">
        <v>570000</v>
      </c>
      <c r="AC238" s="286" t="s">
        <v>4366</v>
      </c>
      <c r="AH238" s="223">
        <f t="shared" si="30"/>
        <v>674934</v>
      </c>
      <c r="AK238" s="171">
        <f t="shared" si="37"/>
        <v>0</v>
      </c>
      <c r="AL238" s="125">
        <v>13667565757</v>
      </c>
      <c r="AM238" s="175" t="s">
        <v>3839</v>
      </c>
      <c r="AN238" s="287"/>
      <c r="AO238" s="125">
        <f t="shared" si="31"/>
        <v>674934</v>
      </c>
      <c r="AP238" s="169">
        <f>0.7%+0.02%+0.08%</f>
        <v>0.008</v>
      </c>
      <c r="AQ238" s="283">
        <f t="shared" si="32"/>
        <v>0</v>
      </c>
      <c r="AR238" s="223"/>
      <c r="AS238" s="223"/>
      <c r="AT238" s="223"/>
      <c r="AU238" s="223"/>
      <c r="AV238" s="223"/>
      <c r="AW238" s="223"/>
      <c r="AX238" s="223"/>
      <c r="AY238" s="223"/>
      <c r="AZ238" s="223"/>
      <c r="BB238" s="223"/>
      <c r="BK238" s="125">
        <v>104934</v>
      </c>
      <c r="BO238" s="125">
        <v>570000</v>
      </c>
      <c r="CI238" s="125" t="s">
        <v>260</v>
      </c>
      <c r="CK238" s="125" t="s">
        <v>261</v>
      </c>
    </row>
    <row r="239" s="101" customFormat="1" customHeight="1" spans="1:89">
      <c r="A239" s="238">
        <v>201</v>
      </c>
      <c r="C239" s="244"/>
      <c r="E239" s="101" t="s">
        <v>4152</v>
      </c>
      <c r="G239" s="244"/>
      <c r="H239" s="244"/>
      <c r="I239" s="101" t="s">
        <v>4367</v>
      </c>
      <c r="J239" s="101">
        <v>86.14</v>
      </c>
      <c r="M239" s="239"/>
      <c r="N239" s="242">
        <v>5422</v>
      </c>
      <c r="O239" s="157"/>
      <c r="P239" s="275"/>
      <c r="Q239" s="241"/>
      <c r="R239" s="242"/>
      <c r="S239" s="297"/>
      <c r="T239" s="298"/>
      <c r="U239" s="297"/>
      <c r="V239" s="242"/>
      <c r="W239" s="205"/>
      <c r="X239" s="242"/>
      <c r="Y239" s="205"/>
      <c r="AA239" s="205"/>
      <c r="AB239" s="242"/>
      <c r="AH239" s="242">
        <f t="shared" si="30"/>
        <v>0</v>
      </c>
      <c r="AK239" s="205"/>
      <c r="AM239" s="244"/>
      <c r="AN239" s="275"/>
      <c r="AO239" s="101">
        <f t="shared" si="31"/>
        <v>0</v>
      </c>
      <c r="AP239" s="158"/>
      <c r="AQ239" s="277">
        <f t="shared" si="32"/>
        <v>0</v>
      </c>
      <c r="AR239" s="242"/>
      <c r="AS239" s="242"/>
      <c r="AT239" s="242"/>
      <c r="AU239" s="242"/>
      <c r="AV239" s="242"/>
      <c r="AW239" s="242"/>
      <c r="AX239" s="242"/>
      <c r="AY239" s="242"/>
      <c r="AZ239" s="242"/>
      <c r="BB239" s="242"/>
    </row>
    <row r="240" s="125" customFormat="1" customHeight="1" spans="1:89">
      <c r="A240" s="174">
        <v>202</v>
      </c>
      <c r="C240" s="184">
        <v>45417</v>
      </c>
      <c r="D240" s="125">
        <v>20240002598</v>
      </c>
      <c r="F240" s="125" t="s">
        <v>4368</v>
      </c>
      <c r="G240" s="175" t="s">
        <v>4369</v>
      </c>
      <c r="H240" s="175"/>
      <c r="I240" s="125" t="s">
        <v>4370</v>
      </c>
      <c r="J240" s="125">
        <v>115.78</v>
      </c>
      <c r="K240" s="125">
        <v>115.78</v>
      </c>
      <c r="L240" s="125">
        <v>5536.36</v>
      </c>
      <c r="M240" s="282">
        <v>641000</v>
      </c>
      <c r="N240" s="223">
        <v>5437</v>
      </c>
      <c r="O240" s="165">
        <v>588073.39</v>
      </c>
      <c r="P240" s="287">
        <v>2.5652000000044e+19</v>
      </c>
      <c r="Q240" s="210">
        <v>45855</v>
      </c>
      <c r="R240" s="223"/>
      <c r="S240" s="286"/>
      <c r="T240" s="292"/>
      <c r="U240" s="286" t="s">
        <v>294</v>
      </c>
      <c r="V240" s="223">
        <v>25000</v>
      </c>
      <c r="W240" s="286" t="s">
        <v>965</v>
      </c>
      <c r="X240" s="223">
        <v>116000</v>
      </c>
      <c r="Y240" s="171" t="s">
        <v>3952</v>
      </c>
      <c r="Z240" s="223">
        <v>500000</v>
      </c>
      <c r="AA240" s="286" t="s">
        <v>3967</v>
      </c>
      <c r="AB240" s="223"/>
      <c r="AH240" s="223">
        <f t="shared" si="30"/>
        <v>641000</v>
      </c>
      <c r="AK240" s="171">
        <f t="shared" si="37"/>
        <v>0</v>
      </c>
      <c r="AL240" s="125">
        <v>18054126901</v>
      </c>
      <c r="AM240" s="175"/>
      <c r="AN240" s="287"/>
      <c r="AO240" s="125">
        <f t="shared" si="31"/>
        <v>641000</v>
      </c>
      <c r="AP240" s="166">
        <f>0.7%+0.08%</f>
        <v>0.0078</v>
      </c>
      <c r="AQ240" s="283">
        <f t="shared" si="32"/>
        <v>0</v>
      </c>
      <c r="AR240" s="223"/>
      <c r="AS240" s="223"/>
      <c r="AT240" s="223"/>
      <c r="AU240" s="223"/>
      <c r="AV240" s="223"/>
      <c r="AW240" s="223"/>
      <c r="AX240" s="223"/>
      <c r="AY240" s="223"/>
      <c r="AZ240" s="223"/>
      <c r="BB240" s="223"/>
      <c r="BI240" s="125">
        <v>141000</v>
      </c>
      <c r="BK240" s="125">
        <v>500000</v>
      </c>
      <c r="CI240" s="125" t="s">
        <v>260</v>
      </c>
      <c r="CJ240" s="125" t="s">
        <v>271</v>
      </c>
      <c r="CK240" s="125" t="s">
        <v>261</v>
      </c>
    </row>
    <row r="241" s="125" customFormat="1" customHeight="1" spans="1:89">
      <c r="A241" s="174">
        <v>203</v>
      </c>
      <c r="C241" s="184">
        <v>45413</v>
      </c>
      <c r="D241" s="125">
        <v>20240002471</v>
      </c>
      <c r="F241" s="1037" t="s">
        <v>4371</v>
      </c>
      <c r="G241" s="175" t="s">
        <v>4372</v>
      </c>
      <c r="H241" s="1040" t="s">
        <v>4373</v>
      </c>
      <c r="I241" s="125" t="s">
        <v>4374</v>
      </c>
      <c r="J241" s="125">
        <v>132.34</v>
      </c>
      <c r="K241" s="125">
        <v>132.34</v>
      </c>
      <c r="L241" s="125">
        <v>5503.87</v>
      </c>
      <c r="M241" s="282">
        <v>728383</v>
      </c>
      <c r="N241" s="223">
        <v>5448</v>
      </c>
      <c r="O241" s="165">
        <v>668241.28</v>
      </c>
      <c r="P241" s="1038" t="s">
        <v>4375</v>
      </c>
      <c r="Q241" s="210">
        <v>45855</v>
      </c>
      <c r="R241" s="223"/>
      <c r="S241" s="286"/>
      <c r="T241" s="292"/>
      <c r="U241" s="286" t="s">
        <v>561</v>
      </c>
      <c r="V241" s="223">
        <v>20000</v>
      </c>
      <c r="W241" s="286" t="s">
        <v>315</v>
      </c>
      <c r="X241" s="223">
        <f>220383</f>
        <v>220383</v>
      </c>
      <c r="Y241" s="286" t="s">
        <v>4376</v>
      </c>
      <c r="Z241" s="223">
        <v>488000</v>
      </c>
      <c r="AA241" s="286" t="s">
        <v>482</v>
      </c>
      <c r="AB241" s="223"/>
      <c r="AH241" s="223">
        <f t="shared" si="30"/>
        <v>728383</v>
      </c>
      <c r="AK241" s="171">
        <f t="shared" si="37"/>
        <v>0</v>
      </c>
      <c r="AL241" s="125">
        <v>19999266962</v>
      </c>
      <c r="AM241" s="175"/>
      <c r="AN241" s="287"/>
      <c r="AO241" s="125">
        <f t="shared" si="31"/>
        <v>728383</v>
      </c>
      <c r="AP241" s="169">
        <f>0.7%+0.05%+0.12%</f>
        <v>0.0087</v>
      </c>
      <c r="AQ241" s="283">
        <f t="shared" si="32"/>
        <v>0</v>
      </c>
      <c r="AR241" s="223"/>
      <c r="AS241" s="223"/>
      <c r="AT241" s="223"/>
      <c r="AU241" s="223"/>
      <c r="AV241" s="223"/>
      <c r="AW241" s="223"/>
      <c r="AX241" s="223"/>
      <c r="AY241" s="223"/>
      <c r="AZ241" s="223"/>
      <c r="BB241" s="223"/>
      <c r="BI241" s="125">
        <v>240383</v>
      </c>
      <c r="BJ241" s="125">
        <v>488000</v>
      </c>
      <c r="CI241" s="125" t="s">
        <v>260</v>
      </c>
      <c r="CJ241" s="125" t="s">
        <v>271</v>
      </c>
      <c r="CK241" s="125" t="s">
        <v>261</v>
      </c>
    </row>
    <row r="242" s="125" customFormat="1" customHeight="1" spans="1:89">
      <c r="A242" s="174">
        <v>204</v>
      </c>
      <c r="C242" s="184">
        <v>45931</v>
      </c>
      <c r="D242" s="125">
        <v>20250004893</v>
      </c>
      <c r="E242" s="125" t="s">
        <v>4377</v>
      </c>
      <c r="F242" s="1037" t="s">
        <v>4378</v>
      </c>
      <c r="G242" s="175" t="s">
        <v>4379</v>
      </c>
      <c r="H242" s="175"/>
      <c r="I242" s="125" t="s">
        <v>4380</v>
      </c>
      <c r="J242" s="125">
        <v>86.14</v>
      </c>
      <c r="K242" s="125">
        <v>86.14</v>
      </c>
      <c r="L242" s="125">
        <v>5778.72</v>
      </c>
      <c r="M242" s="282">
        <v>497779</v>
      </c>
      <c r="N242" s="223">
        <v>5432</v>
      </c>
      <c r="O242" s="165">
        <v>456677.98</v>
      </c>
      <c r="P242" s="1038" t="s">
        <v>4381</v>
      </c>
      <c r="Q242" s="210">
        <v>45995</v>
      </c>
      <c r="R242" s="223"/>
      <c r="S242" s="286"/>
      <c r="T242" s="292"/>
      <c r="U242" s="286"/>
      <c r="V242" s="223">
        <v>497779</v>
      </c>
      <c r="W242" s="286">
        <v>45923</v>
      </c>
      <c r="X242" s="223"/>
      <c r="Y242" s="171"/>
      <c r="AA242" s="171"/>
      <c r="AB242" s="223"/>
      <c r="AH242" s="223">
        <f t="shared" si="30"/>
        <v>497779</v>
      </c>
      <c r="AK242" s="171">
        <f t="shared" si="37"/>
        <v>0</v>
      </c>
      <c r="AL242" s="125">
        <v>19190310000</v>
      </c>
      <c r="AM242" s="175"/>
      <c r="AN242" s="287"/>
      <c r="AO242" s="125">
        <f t="shared" si="31"/>
        <v>0</v>
      </c>
      <c r="AP242" s="166"/>
      <c r="AQ242" s="283">
        <f t="shared" si="32"/>
        <v>0</v>
      </c>
      <c r="AR242" s="223"/>
      <c r="AS242" s="223"/>
      <c r="AT242" s="223"/>
      <c r="AU242" s="223"/>
      <c r="AV242" s="223"/>
      <c r="AW242" s="223"/>
      <c r="AX242" s="223"/>
      <c r="AY242" s="223"/>
      <c r="AZ242" s="223"/>
      <c r="BB242" s="223"/>
      <c r="CI242" s="125" t="s">
        <v>3258</v>
      </c>
      <c r="CK242" s="125" t="s">
        <v>4382</v>
      </c>
    </row>
    <row r="243" s="125" customFormat="1" customHeight="1" spans="1:89">
      <c r="A243" s="174">
        <v>205</v>
      </c>
      <c r="C243" s="184">
        <v>45417</v>
      </c>
      <c r="D243" s="125">
        <v>20240002571</v>
      </c>
      <c r="F243" s="125" t="s">
        <v>4383</v>
      </c>
      <c r="G243" s="175" t="s">
        <v>4384</v>
      </c>
      <c r="H243" s="175"/>
      <c r="I243" s="125" t="s">
        <v>4385</v>
      </c>
      <c r="J243" s="125">
        <v>115.78</v>
      </c>
      <c r="K243" s="125">
        <v>115.78</v>
      </c>
      <c r="L243" s="125">
        <v>5527.725</v>
      </c>
      <c r="M243" s="282">
        <v>640000</v>
      </c>
      <c r="N243" s="223">
        <v>5458</v>
      </c>
      <c r="O243" s="165">
        <v>587155.96</v>
      </c>
      <c r="P243" s="1038" t="s">
        <v>4386</v>
      </c>
      <c r="Q243" s="210">
        <v>45855</v>
      </c>
      <c r="R243" s="223"/>
      <c r="S243" s="286"/>
      <c r="T243" s="292"/>
      <c r="U243" s="286" t="s">
        <v>370</v>
      </c>
      <c r="V243" s="223">
        <v>20000</v>
      </c>
      <c r="W243" s="286" t="s">
        <v>3649</v>
      </c>
      <c r="X243" s="223">
        <v>160000</v>
      </c>
      <c r="Y243" s="286" t="s">
        <v>965</v>
      </c>
      <c r="Z243" s="223">
        <v>460000</v>
      </c>
      <c r="AA243" s="286" t="s">
        <v>3265</v>
      </c>
      <c r="AB243" s="223"/>
      <c r="AH243" s="223">
        <f t="shared" si="30"/>
        <v>640000</v>
      </c>
      <c r="AK243" s="171">
        <f t="shared" si="37"/>
        <v>0</v>
      </c>
      <c r="AL243" s="125">
        <v>18742875661</v>
      </c>
      <c r="AM243" s="175"/>
      <c r="AN243" s="287"/>
      <c r="AO243" s="125">
        <f t="shared" si="31"/>
        <v>640000</v>
      </c>
      <c r="AP243" s="166">
        <f>0.4%+0.03%+0.12%</f>
        <v>0.0055</v>
      </c>
      <c r="AQ243" s="283">
        <f t="shared" si="32"/>
        <v>0</v>
      </c>
      <c r="AR243" s="223"/>
      <c r="AS243" s="223"/>
      <c r="AT243" s="223"/>
      <c r="AU243" s="223"/>
      <c r="AV243" s="223"/>
      <c r="AW243" s="223"/>
      <c r="AX243" s="223"/>
      <c r="AY243" s="223"/>
      <c r="AZ243" s="223"/>
      <c r="BB243" s="223"/>
      <c r="BI243" s="125">
        <v>180000</v>
      </c>
      <c r="BP243" s="125">
        <v>460000</v>
      </c>
      <c r="CI243" s="125" t="s">
        <v>260</v>
      </c>
      <c r="CJ243" s="125" t="s">
        <v>271</v>
      </c>
      <c r="CK243" s="125" t="s">
        <v>261</v>
      </c>
    </row>
    <row r="244" s="125" customFormat="1" customHeight="1" spans="1:89">
      <c r="A244" s="174">
        <v>206</v>
      </c>
      <c r="B244" s="125"/>
      <c r="C244" s="184">
        <v>45811</v>
      </c>
      <c r="D244" s="125">
        <v>20250002996</v>
      </c>
      <c r="F244" s="1037" t="s">
        <v>4387</v>
      </c>
      <c r="G244" s="175" t="s">
        <v>4388</v>
      </c>
      <c r="H244" s="175"/>
      <c r="I244" s="125" t="s">
        <v>4389</v>
      </c>
      <c r="J244" s="125">
        <v>132.34</v>
      </c>
      <c r="K244" s="125">
        <v>132.34</v>
      </c>
      <c r="L244" s="125">
        <v>5000</v>
      </c>
      <c r="M244" s="282">
        <v>661700</v>
      </c>
      <c r="N244" s="223">
        <v>5000</v>
      </c>
      <c r="O244" s="165">
        <v>607064.22</v>
      </c>
      <c r="P244" s="1038" t="s">
        <v>4390</v>
      </c>
      <c r="Q244" s="210">
        <v>45838</v>
      </c>
      <c r="R244" s="223"/>
      <c r="S244" s="286"/>
      <c r="T244" s="292"/>
      <c r="U244" s="286" t="s">
        <v>267</v>
      </c>
      <c r="V244" s="223">
        <v>20000</v>
      </c>
      <c r="W244" s="286" t="s">
        <v>4391</v>
      </c>
      <c r="X244" s="223">
        <v>92700</v>
      </c>
      <c r="Y244" s="286" t="s">
        <v>4392</v>
      </c>
      <c r="Z244" s="125">
        <v>20000</v>
      </c>
      <c r="AA244" s="171" t="s">
        <v>3578</v>
      </c>
      <c r="AB244" s="223">
        <v>529000</v>
      </c>
      <c r="AC244" s="286">
        <v>45849</v>
      </c>
      <c r="AH244" s="223">
        <f t="shared" si="30"/>
        <v>661700</v>
      </c>
      <c r="AK244" s="171">
        <f t="shared" si="37"/>
        <v>0</v>
      </c>
      <c r="AL244" s="125">
        <v>18864124134</v>
      </c>
      <c r="AM244" s="175" t="s">
        <v>3522</v>
      </c>
      <c r="AN244" s="287"/>
      <c r="AO244" s="125">
        <f t="shared" si="31"/>
        <v>661700</v>
      </c>
      <c r="AP244" s="166">
        <f>0.7%+0.08%+0.03%</f>
        <v>0.0081</v>
      </c>
      <c r="AQ244" s="283">
        <f t="shared" si="32"/>
        <v>0</v>
      </c>
      <c r="AR244" s="223"/>
      <c r="AS244" s="223"/>
      <c r="AT244" s="223"/>
      <c r="AU244" s="223"/>
      <c r="AV244" s="223"/>
      <c r="AW244" s="223"/>
      <c r="AX244" s="223"/>
      <c r="AY244" s="223"/>
      <c r="AZ244" s="223"/>
      <c r="BB244" s="223"/>
      <c r="BV244" s="125">
        <v>132700</v>
      </c>
      <c r="BW244" s="125">
        <v>529000</v>
      </c>
      <c r="CI244" s="125" t="s">
        <v>260</v>
      </c>
      <c r="CK244" s="125" t="s">
        <v>261</v>
      </c>
    </row>
    <row r="245" s="101" customFormat="1" customHeight="1" spans="1:89">
      <c r="A245" s="238">
        <v>207</v>
      </c>
      <c r="C245" s="244"/>
      <c r="E245" s="101" t="s">
        <v>4393</v>
      </c>
      <c r="G245" s="244"/>
      <c r="H245" s="244"/>
      <c r="I245" s="101" t="s">
        <v>4394</v>
      </c>
      <c r="J245" s="101">
        <v>86.14</v>
      </c>
      <c r="M245" s="239"/>
      <c r="N245" s="242">
        <v>5028</v>
      </c>
      <c r="O245" s="157"/>
      <c r="P245" s="275"/>
      <c r="Q245" s="241"/>
      <c r="R245" s="242"/>
      <c r="S245" s="297"/>
      <c r="T245" s="298"/>
      <c r="U245" s="297"/>
      <c r="V245" s="242"/>
      <c r="W245" s="205"/>
      <c r="X245" s="242"/>
      <c r="Y245" s="205"/>
      <c r="AA245" s="205"/>
      <c r="AB245" s="242"/>
      <c r="AH245" s="242">
        <f t="shared" si="30"/>
        <v>0</v>
      </c>
      <c r="AK245" s="205"/>
      <c r="AM245" s="244"/>
      <c r="AN245" s="275"/>
      <c r="AO245" s="101">
        <f t="shared" si="31"/>
        <v>0</v>
      </c>
      <c r="AP245" s="158"/>
      <c r="AQ245" s="277">
        <f t="shared" si="32"/>
        <v>0</v>
      </c>
      <c r="AR245" s="242"/>
      <c r="AS245" s="242"/>
      <c r="AT245" s="242"/>
      <c r="AU245" s="242"/>
      <c r="AV245" s="242"/>
      <c r="AW245" s="242"/>
      <c r="AX245" s="242"/>
      <c r="AY245" s="242"/>
      <c r="AZ245" s="242"/>
      <c r="BB245" s="242"/>
    </row>
    <row r="246" s="125" customFormat="1" customHeight="1" spans="1:89">
      <c r="A246" s="174">
        <v>208</v>
      </c>
      <c r="C246" s="184">
        <v>45398</v>
      </c>
      <c r="D246" s="125">
        <v>20240002114</v>
      </c>
      <c r="F246" s="1037" t="s">
        <v>4395</v>
      </c>
      <c r="G246" s="175" t="s">
        <v>4396</v>
      </c>
      <c r="H246" s="1040" t="s">
        <v>4397</v>
      </c>
      <c r="I246" s="125" t="s">
        <v>4398</v>
      </c>
      <c r="J246" s="125">
        <v>115.78</v>
      </c>
      <c r="K246" s="125">
        <v>115.78</v>
      </c>
      <c r="L246" s="125">
        <v>5052.69</v>
      </c>
      <c r="M246" s="282">
        <v>585000</v>
      </c>
      <c r="N246" s="223">
        <v>5028</v>
      </c>
      <c r="O246" s="165">
        <v>536697.25</v>
      </c>
      <c r="P246" s="1038" t="s">
        <v>4399</v>
      </c>
      <c r="Q246" s="210">
        <v>45846</v>
      </c>
      <c r="R246" s="223"/>
      <c r="S246" s="286"/>
      <c r="T246" s="292"/>
      <c r="U246" s="286" t="s">
        <v>561</v>
      </c>
      <c r="V246" s="223">
        <v>20000</v>
      </c>
      <c r="W246" s="286" t="s">
        <v>4400</v>
      </c>
      <c r="X246" s="223">
        <v>77000</v>
      </c>
      <c r="Y246" s="171" t="s">
        <v>4010</v>
      </c>
      <c r="Z246" s="223">
        <v>20000</v>
      </c>
      <c r="AA246" s="286" t="s">
        <v>3952</v>
      </c>
      <c r="AB246" s="223">
        <v>468000</v>
      </c>
      <c r="AC246" s="125" t="s">
        <v>715</v>
      </c>
      <c r="AH246" s="223">
        <f t="shared" si="30"/>
        <v>585000</v>
      </c>
      <c r="AK246" s="171">
        <f>M246-AH246</f>
        <v>0</v>
      </c>
      <c r="AL246" s="125">
        <v>13709964545</v>
      </c>
      <c r="AM246" s="175"/>
      <c r="AN246" s="287"/>
      <c r="AO246" s="125">
        <f t="shared" si="31"/>
        <v>585000</v>
      </c>
      <c r="AP246" s="169">
        <f>0.7%+0.05%+0.12%</f>
        <v>0.0087</v>
      </c>
      <c r="AQ246" s="283">
        <f t="shared" si="32"/>
        <v>0</v>
      </c>
      <c r="AR246" s="223"/>
      <c r="AS246" s="223"/>
      <c r="AT246" s="223"/>
      <c r="AU246" s="223"/>
      <c r="AV246" s="223"/>
      <c r="AW246" s="223"/>
      <c r="AX246" s="223"/>
      <c r="AY246" s="223"/>
      <c r="AZ246" s="223"/>
      <c r="BB246" s="223"/>
      <c r="BI246" s="125">
        <v>585000</v>
      </c>
      <c r="CI246" s="125" t="s">
        <v>260</v>
      </c>
      <c r="CJ246" s="125" t="s">
        <v>271</v>
      </c>
      <c r="CK246" s="125" t="s">
        <v>261</v>
      </c>
    </row>
    <row r="247" s="101" customFormat="1" customHeight="1" spans="1:89">
      <c r="A247" s="238"/>
      <c r="C247" s="244"/>
      <c r="G247" s="244"/>
      <c r="H247" s="244"/>
      <c r="I247" s="101" t="s">
        <v>4401</v>
      </c>
      <c r="J247" s="313">
        <v>60.09</v>
      </c>
      <c r="M247" s="239"/>
      <c r="N247" s="242" t="s">
        <v>3227</v>
      </c>
      <c r="O247" s="157"/>
      <c r="P247" s="275"/>
      <c r="Q247" s="241"/>
      <c r="R247" s="242"/>
      <c r="S247" s="297"/>
      <c r="T247" s="298"/>
      <c r="U247" s="297"/>
      <c r="V247" s="242"/>
      <c r="W247" s="205"/>
      <c r="X247" s="242"/>
      <c r="Y247" s="205"/>
      <c r="AA247" s="205"/>
      <c r="AB247" s="242"/>
      <c r="AH247" s="242">
        <f t="shared" si="30"/>
        <v>0</v>
      </c>
      <c r="AK247" s="205"/>
      <c r="AM247" s="244"/>
      <c r="AN247" s="275"/>
      <c r="AO247" s="101">
        <f t="shared" si="31"/>
        <v>0</v>
      </c>
      <c r="AP247" s="158"/>
      <c r="AQ247" s="277">
        <f t="shared" si="32"/>
        <v>0</v>
      </c>
      <c r="AR247" s="242"/>
      <c r="AS247" s="242"/>
      <c r="AT247" s="242"/>
      <c r="AU247" s="242"/>
      <c r="AV247" s="242"/>
      <c r="AW247" s="242"/>
      <c r="AX247" s="242"/>
      <c r="AY247" s="242"/>
      <c r="AZ247" s="242"/>
      <c r="BB247" s="242"/>
    </row>
    <row r="248" s="101" customFormat="1" customHeight="1" spans="1:89">
      <c r="C248" s="244"/>
      <c r="G248" s="244"/>
      <c r="H248" s="244"/>
      <c r="I248" s="273" t="s">
        <v>4402</v>
      </c>
      <c r="J248" s="162">
        <v>31.87</v>
      </c>
      <c r="M248" s="239"/>
      <c r="N248" s="242">
        <v>65214</v>
      </c>
      <c r="O248" s="157"/>
      <c r="P248" s="275"/>
      <c r="Q248" s="241"/>
      <c r="R248" s="242"/>
      <c r="S248" s="297"/>
      <c r="T248" s="298"/>
      <c r="U248" s="297"/>
      <c r="V248" s="242"/>
      <c r="W248" s="291"/>
      <c r="X248" s="242"/>
      <c r="Y248" s="205"/>
      <c r="AA248" s="205"/>
      <c r="AB248" s="242"/>
      <c r="AH248" s="242">
        <f t="shared" si="30"/>
        <v>0</v>
      </c>
      <c r="AK248" s="205"/>
      <c r="AM248" s="244"/>
      <c r="AN248" s="275"/>
      <c r="AO248" s="101">
        <f t="shared" si="31"/>
        <v>0</v>
      </c>
      <c r="AP248" s="276">
        <v>0.02</v>
      </c>
      <c r="AQ248" s="277">
        <f t="shared" si="32"/>
        <v>0</v>
      </c>
      <c r="AR248" s="242"/>
      <c r="AS248" s="242"/>
      <c r="AT248" s="242"/>
      <c r="AU248" s="242"/>
      <c r="AV248" s="242"/>
      <c r="AW248" s="242"/>
      <c r="AX248" s="242"/>
      <c r="AY248" s="242"/>
      <c r="AZ248" s="242"/>
      <c r="BA248" s="299"/>
      <c r="BB248" s="242"/>
      <c r="BC248" s="299"/>
    </row>
    <row r="249" s="101" customFormat="1" customHeight="1" spans="1:89">
      <c r="C249" s="244"/>
      <c r="G249" s="244"/>
      <c r="H249" s="244"/>
      <c r="I249" s="278" t="s">
        <v>4403</v>
      </c>
      <c r="J249" s="162">
        <v>70.48</v>
      </c>
      <c r="M249" s="239"/>
      <c r="N249" s="242" t="s">
        <v>3227</v>
      </c>
      <c r="O249" s="157"/>
      <c r="P249" s="275"/>
      <c r="Q249" s="241"/>
      <c r="R249" s="242"/>
      <c r="S249" s="243"/>
      <c r="T249" s="298"/>
      <c r="U249" s="297"/>
      <c r="V249" s="242"/>
      <c r="W249" s="291"/>
      <c r="X249" s="242"/>
      <c r="Y249" s="205"/>
      <c r="Z249" s="242"/>
      <c r="AA249" s="205"/>
      <c r="AB249" s="242"/>
      <c r="AH249" s="242">
        <f t="shared" si="30"/>
        <v>0</v>
      </c>
      <c r="AK249" s="205"/>
      <c r="AM249" s="244"/>
      <c r="AN249" s="275"/>
      <c r="AO249" s="101">
        <f t="shared" si="31"/>
        <v>0</v>
      </c>
      <c r="AP249" s="276">
        <v>0.02</v>
      </c>
      <c r="AQ249" s="277">
        <f t="shared" si="32"/>
        <v>0</v>
      </c>
      <c r="AR249" s="242"/>
      <c r="AS249" s="242"/>
      <c r="AT249" s="242"/>
      <c r="AU249" s="242"/>
      <c r="AV249" s="242"/>
      <c r="AW249" s="242"/>
      <c r="AX249" s="242"/>
      <c r="AY249" s="242"/>
      <c r="AZ249" s="242"/>
      <c r="BB249" s="242"/>
    </row>
    <row r="250" s="101" customFormat="1" customHeight="1" spans="1:89">
      <c r="C250" s="244"/>
      <c r="I250" s="273" t="s">
        <v>4404</v>
      </c>
      <c r="J250" s="162">
        <v>70.48</v>
      </c>
      <c r="M250" s="239"/>
      <c r="N250" s="242" t="s">
        <v>3227</v>
      </c>
      <c r="O250" s="157"/>
      <c r="P250" s="275"/>
      <c r="Q250" s="241"/>
      <c r="R250" s="242"/>
      <c r="T250" s="238"/>
      <c r="V250" s="242"/>
      <c r="W250" s="205"/>
      <c r="X250" s="242"/>
      <c r="Y250" s="205"/>
      <c r="AA250" s="205"/>
      <c r="AB250" s="242"/>
      <c r="AH250" s="242">
        <f t="shared" si="30"/>
        <v>0</v>
      </c>
      <c r="AK250" s="205"/>
      <c r="AM250" s="244"/>
      <c r="AN250" s="275"/>
      <c r="AO250" s="101">
        <f t="shared" si="31"/>
        <v>0</v>
      </c>
      <c r="AP250" s="276">
        <v>0.02</v>
      </c>
      <c r="AQ250" s="277">
        <f t="shared" si="32"/>
        <v>0</v>
      </c>
      <c r="AR250" s="242"/>
      <c r="AS250" s="242"/>
      <c r="AT250" s="242"/>
      <c r="AU250" s="242"/>
      <c r="AV250" s="242"/>
      <c r="AW250" s="242"/>
      <c r="AX250" s="242"/>
      <c r="AY250" s="242"/>
      <c r="AZ250" s="242"/>
      <c r="BA250" s="299"/>
      <c r="BB250" s="242"/>
      <c r="BC250" s="299"/>
    </row>
    <row r="251" s="101" customFormat="1" customHeight="1" spans="1:89">
      <c r="C251" s="244"/>
      <c r="G251" s="244"/>
      <c r="H251" s="244"/>
      <c r="I251" s="278" t="s">
        <v>4405</v>
      </c>
      <c r="J251" s="162">
        <v>48.44</v>
      </c>
      <c r="M251" s="239"/>
      <c r="N251" s="242">
        <v>99130</v>
      </c>
      <c r="O251" s="157"/>
      <c r="P251" s="275"/>
      <c r="Q251" s="241"/>
      <c r="R251" s="242"/>
      <c r="S251" s="243"/>
      <c r="T251" s="238"/>
      <c r="U251" s="243"/>
      <c r="V251" s="242"/>
      <c r="W251" s="205"/>
      <c r="X251" s="242"/>
      <c r="AA251" s="205"/>
      <c r="AB251" s="242"/>
      <c r="AH251" s="242">
        <f t="shared" si="30"/>
        <v>0</v>
      </c>
      <c r="AK251" s="205"/>
      <c r="AM251" s="244"/>
      <c r="AN251" s="275"/>
      <c r="AO251" s="101">
        <f t="shared" si="31"/>
        <v>0</v>
      </c>
      <c r="AP251" s="276">
        <v>0.02</v>
      </c>
      <c r="AQ251" s="277">
        <f t="shared" si="32"/>
        <v>0</v>
      </c>
      <c r="AR251" s="242"/>
      <c r="AS251" s="242"/>
      <c r="AT251" s="242"/>
      <c r="AU251" s="242"/>
      <c r="AV251" s="242"/>
      <c r="AW251" s="242"/>
      <c r="AX251" s="242"/>
      <c r="AY251" s="242"/>
      <c r="AZ251" s="242"/>
      <c r="BA251" s="299"/>
      <c r="BB251" s="242"/>
      <c r="BC251" s="299"/>
    </row>
    <row r="252" s="101" customFormat="1" customHeight="1" spans="1:89">
      <c r="C252" s="244"/>
      <c r="G252" s="244"/>
      <c r="I252" s="278" t="s">
        <v>4406</v>
      </c>
      <c r="J252" s="162">
        <v>48.44</v>
      </c>
      <c r="M252" s="314"/>
      <c r="N252" s="315">
        <v>99130</v>
      </c>
      <c r="O252" s="157"/>
      <c r="P252" s="275"/>
      <c r="Q252" s="241"/>
      <c r="R252" s="242"/>
      <c r="S252" s="243"/>
      <c r="T252" s="238"/>
      <c r="U252" s="243"/>
      <c r="V252" s="242"/>
      <c r="W252" s="316"/>
      <c r="X252" s="242"/>
      <c r="Y252" s="317"/>
      <c r="AB252" s="242"/>
      <c r="AH252" s="242">
        <f t="shared" si="30"/>
        <v>0</v>
      </c>
      <c r="AK252" s="205"/>
      <c r="AL252" s="318"/>
      <c r="AM252" s="319"/>
      <c r="AN252" s="320"/>
      <c r="AO252" s="101">
        <f t="shared" si="31"/>
        <v>0</v>
      </c>
      <c r="AP252" s="276">
        <v>0.02</v>
      </c>
      <c r="AQ252" s="277">
        <f t="shared" si="32"/>
        <v>0</v>
      </c>
      <c r="AR252" s="242"/>
      <c r="AS252" s="242"/>
      <c r="AT252" s="242"/>
      <c r="AU252" s="242"/>
      <c r="AV252" s="242"/>
      <c r="AW252" s="242"/>
      <c r="AX252" s="242"/>
      <c r="AY252" s="242"/>
      <c r="AZ252" s="242"/>
      <c r="BA252" s="299"/>
      <c r="BB252" s="242"/>
      <c r="BC252" s="299"/>
    </row>
    <row r="253" s="101" customFormat="1" customHeight="1" spans="1:89">
      <c r="C253" s="244"/>
      <c r="G253" s="244"/>
      <c r="H253" s="244"/>
      <c r="I253" s="273" t="s">
        <v>4407</v>
      </c>
      <c r="J253" s="162">
        <v>46.51</v>
      </c>
      <c r="M253" s="239"/>
      <c r="N253" s="242">
        <v>95181</v>
      </c>
      <c r="O253" s="157"/>
      <c r="P253" s="275"/>
      <c r="Q253" s="241"/>
      <c r="R253" s="242"/>
      <c r="S253" s="297"/>
      <c r="T253" s="298"/>
      <c r="U253" s="297"/>
      <c r="V253" s="242"/>
      <c r="W253" s="291"/>
      <c r="X253" s="242"/>
      <c r="Y253" s="205"/>
      <c r="AA253" s="205"/>
      <c r="AB253" s="242"/>
      <c r="AH253" s="242">
        <f t="shared" si="30"/>
        <v>0</v>
      </c>
      <c r="AK253" s="205"/>
      <c r="AM253" s="244"/>
      <c r="AN253" s="275"/>
      <c r="AO253" s="101">
        <f t="shared" si="31"/>
        <v>0</v>
      </c>
      <c r="AP253" s="276">
        <v>0.02</v>
      </c>
      <c r="AQ253" s="277">
        <f t="shared" si="32"/>
        <v>0</v>
      </c>
      <c r="AR253" s="242"/>
      <c r="AS253" s="242"/>
      <c r="AT253" s="242"/>
      <c r="AU253" s="242"/>
      <c r="AV253" s="242"/>
      <c r="AW253" s="242"/>
      <c r="AX253" s="242"/>
      <c r="AY253" s="242"/>
      <c r="AZ253" s="242"/>
      <c r="BA253" s="299"/>
      <c r="BB253" s="242"/>
      <c r="BC253" s="299"/>
    </row>
    <row r="254" s="101" customFormat="1" customHeight="1" spans="1:89">
      <c r="C254" s="244"/>
      <c r="G254" s="244"/>
      <c r="H254" s="244"/>
      <c r="I254" s="278" t="s">
        <v>4408</v>
      </c>
      <c r="J254" s="162">
        <v>71.07</v>
      </c>
      <c r="M254" s="239"/>
      <c r="N254" s="242" t="s">
        <v>3227</v>
      </c>
      <c r="O254" s="157"/>
      <c r="P254" s="275"/>
      <c r="Q254" s="241"/>
      <c r="R254" s="242"/>
      <c r="S254" s="297"/>
      <c r="T254" s="298"/>
      <c r="U254" s="297"/>
      <c r="V254" s="242"/>
      <c r="W254" s="291"/>
      <c r="Y254" s="205"/>
      <c r="AA254" s="205"/>
      <c r="AB254" s="242"/>
      <c r="AH254" s="242">
        <f t="shared" si="30"/>
        <v>0</v>
      </c>
      <c r="AK254" s="205"/>
      <c r="AL254" s="318"/>
      <c r="AM254" s="244"/>
      <c r="AN254" s="275"/>
      <c r="AO254" s="101">
        <f t="shared" si="31"/>
        <v>0</v>
      </c>
      <c r="AP254" s="276">
        <v>0.02</v>
      </c>
      <c r="AQ254" s="277">
        <f t="shared" si="32"/>
        <v>0</v>
      </c>
      <c r="AR254" s="242"/>
      <c r="AS254" s="242"/>
      <c r="AT254" s="242"/>
      <c r="AU254" s="242"/>
      <c r="AV254" s="242"/>
      <c r="AW254" s="242"/>
      <c r="AX254" s="242"/>
      <c r="AY254" s="242"/>
      <c r="AZ254" s="242"/>
      <c r="BA254" s="299"/>
      <c r="BB254" s="242"/>
      <c r="BC254" s="299"/>
    </row>
    <row r="255" s="101" customFormat="1" customHeight="1" spans="1:89">
      <c r="C255" s="244"/>
      <c r="G255" s="244"/>
      <c r="H255" s="244"/>
      <c r="I255" s="273" t="s">
        <v>4409</v>
      </c>
      <c r="J255" s="162">
        <v>70.52</v>
      </c>
      <c r="M255" s="239"/>
      <c r="N255" s="242" t="s">
        <v>3227</v>
      </c>
      <c r="O255" s="157"/>
      <c r="P255" s="275"/>
      <c r="Q255" s="241"/>
      <c r="R255" s="242"/>
      <c r="T255" s="238"/>
      <c r="V255" s="242"/>
      <c r="X255" s="242"/>
      <c r="Y255" s="205"/>
      <c r="AA255" s="205"/>
      <c r="AB255" s="242"/>
      <c r="AH255" s="242">
        <f t="shared" si="30"/>
        <v>0</v>
      </c>
      <c r="AK255" s="205"/>
      <c r="AM255" s="244"/>
      <c r="AN255" s="275"/>
      <c r="AO255" s="101">
        <f t="shared" si="31"/>
        <v>0</v>
      </c>
      <c r="AP255" s="276">
        <v>0.02</v>
      </c>
      <c r="AQ255" s="277">
        <f t="shared" si="32"/>
        <v>0</v>
      </c>
      <c r="AR255" s="242"/>
      <c r="AS255" s="242"/>
      <c r="AT255" s="242"/>
      <c r="AU255" s="242"/>
      <c r="AV255" s="242"/>
      <c r="AW255" s="242"/>
      <c r="AX255" s="242"/>
      <c r="AY255" s="242"/>
      <c r="AZ255" s="242"/>
      <c r="BA255" s="299"/>
      <c r="BB255" s="242"/>
      <c r="BC255" s="299"/>
    </row>
    <row r="256" s="101" customFormat="1" ht="42" customHeight="1" spans="1:89">
      <c r="C256" s="244"/>
      <c r="I256" s="278" t="s">
        <v>4410</v>
      </c>
      <c r="J256" s="162">
        <v>31.87</v>
      </c>
      <c r="M256" s="239"/>
      <c r="N256" s="242">
        <v>65214</v>
      </c>
      <c r="O256" s="157"/>
      <c r="P256" s="275"/>
      <c r="Q256" s="241"/>
      <c r="R256" s="242"/>
      <c r="S256" s="243"/>
      <c r="T256" s="298"/>
      <c r="U256" s="297"/>
      <c r="V256" s="242"/>
      <c r="W256" s="291"/>
      <c r="X256" s="242"/>
      <c r="Y256" s="205"/>
      <c r="AA256" s="205"/>
      <c r="AB256" s="242"/>
      <c r="AH256" s="242">
        <f t="shared" si="30"/>
        <v>0</v>
      </c>
      <c r="AK256" s="205"/>
      <c r="AM256" s="244"/>
      <c r="AN256" s="275"/>
      <c r="AO256" s="101">
        <f t="shared" si="31"/>
        <v>0</v>
      </c>
      <c r="AP256" s="276">
        <v>0.02</v>
      </c>
      <c r="AQ256" s="277">
        <f t="shared" si="32"/>
        <v>0</v>
      </c>
      <c r="AR256" s="242"/>
      <c r="AS256" s="242"/>
      <c r="AT256" s="242"/>
      <c r="AU256" s="242"/>
      <c r="AV256" s="242"/>
      <c r="AW256" s="242"/>
      <c r="AX256" s="242"/>
      <c r="AY256" s="242"/>
      <c r="AZ256" s="242"/>
      <c r="BA256" s="299"/>
      <c r="BB256" s="242"/>
      <c r="BC256" s="299"/>
    </row>
    <row r="257" s="101" customFormat="1" customHeight="1" spans="1:89">
      <c r="C257" s="244"/>
      <c r="I257" s="273" t="s">
        <v>4411</v>
      </c>
      <c r="J257" s="162">
        <v>48.44</v>
      </c>
      <c r="M257" s="239"/>
      <c r="N257" s="242">
        <v>99130</v>
      </c>
      <c r="O257" s="157"/>
      <c r="P257" s="275"/>
      <c r="Q257" s="241"/>
      <c r="R257" s="242"/>
      <c r="T257" s="238"/>
      <c r="V257" s="242"/>
      <c r="W257" s="205"/>
      <c r="X257" s="242"/>
      <c r="Y257" s="205"/>
      <c r="AA257" s="205"/>
      <c r="AB257" s="242"/>
      <c r="AH257" s="242">
        <f t="shared" si="30"/>
        <v>0</v>
      </c>
      <c r="AK257" s="205"/>
      <c r="AM257" s="244"/>
      <c r="AN257" s="275"/>
      <c r="AO257" s="101">
        <f t="shared" si="31"/>
        <v>0</v>
      </c>
      <c r="AP257" s="276">
        <v>0.02</v>
      </c>
      <c r="AQ257" s="277">
        <f t="shared" si="32"/>
        <v>0</v>
      </c>
      <c r="AR257" s="242"/>
      <c r="AS257" s="242"/>
      <c r="AT257" s="242"/>
      <c r="AU257" s="242"/>
      <c r="AV257" s="242"/>
      <c r="AW257" s="242"/>
      <c r="AX257" s="242"/>
      <c r="AY257" s="242"/>
      <c r="AZ257" s="242"/>
      <c r="BA257" s="299"/>
      <c r="BB257" s="242"/>
      <c r="BC257" s="299"/>
    </row>
    <row r="258" s="101" customFormat="1" customHeight="1" spans="1:89">
      <c r="C258" s="244"/>
      <c r="G258" s="244"/>
      <c r="H258" s="244"/>
      <c r="I258" s="278" t="s">
        <v>4412</v>
      </c>
      <c r="J258" s="162">
        <v>70.62</v>
      </c>
      <c r="M258" s="239"/>
      <c r="N258" s="242" t="s">
        <v>3227</v>
      </c>
      <c r="O258" s="157"/>
      <c r="P258" s="275"/>
      <c r="Q258" s="241"/>
      <c r="R258" s="242"/>
      <c r="S258" s="243"/>
      <c r="T258" s="238"/>
      <c r="U258" s="243"/>
      <c r="V258" s="242"/>
      <c r="W258" s="316"/>
      <c r="X258" s="242"/>
      <c r="Y258" s="205"/>
      <c r="AA258" s="205"/>
      <c r="AB258" s="242"/>
      <c r="AH258" s="242">
        <f t="shared" si="30"/>
        <v>0</v>
      </c>
      <c r="AK258" s="205"/>
      <c r="AM258" s="244"/>
      <c r="AN258" s="275"/>
      <c r="AO258" s="101">
        <f t="shared" si="31"/>
        <v>0</v>
      </c>
      <c r="AP258" s="276">
        <v>0.02</v>
      </c>
      <c r="AQ258" s="277">
        <f t="shared" si="32"/>
        <v>0</v>
      </c>
      <c r="AR258" s="242"/>
      <c r="AS258" s="242"/>
      <c r="AT258" s="242"/>
      <c r="AU258" s="242"/>
      <c r="AV258" s="242"/>
      <c r="AW258" s="242"/>
      <c r="AX258" s="242"/>
      <c r="AY258" s="242"/>
      <c r="AZ258" s="242"/>
      <c r="BB258" s="242"/>
    </row>
    <row r="259" s="101" customFormat="1" customHeight="1" spans="1:89">
      <c r="F259" s="318"/>
      <c r="G259" s="298"/>
      <c r="H259" s="298"/>
      <c r="I259" s="273" t="s">
        <v>4413</v>
      </c>
      <c r="J259" s="162">
        <v>71.07</v>
      </c>
      <c r="M259" s="239"/>
      <c r="N259" s="242" t="s">
        <v>3227</v>
      </c>
      <c r="O259" s="157"/>
      <c r="P259" s="275"/>
      <c r="Q259" s="241"/>
      <c r="R259" s="242"/>
      <c r="T259" s="238"/>
      <c r="V259" s="242"/>
      <c r="X259" s="242"/>
      <c r="Y259" s="316"/>
      <c r="AA259" s="205"/>
      <c r="AB259" s="242"/>
      <c r="AH259" s="242">
        <f t="shared" si="30"/>
        <v>0</v>
      </c>
      <c r="AK259" s="205"/>
      <c r="AL259" s="318"/>
      <c r="AM259" s="319"/>
      <c r="AN259" s="321"/>
      <c r="AO259" s="101">
        <f t="shared" si="31"/>
        <v>0</v>
      </c>
      <c r="AP259" s="276">
        <v>0.02</v>
      </c>
      <c r="AQ259" s="277">
        <f t="shared" si="32"/>
        <v>0</v>
      </c>
      <c r="AR259" s="242"/>
      <c r="AS259" s="242"/>
      <c r="AT259" s="242"/>
      <c r="AU259" s="242"/>
      <c r="AV259" s="242"/>
      <c r="AW259" s="242"/>
      <c r="AX259" s="242"/>
      <c r="AY259" s="242"/>
      <c r="AZ259" s="242"/>
      <c r="BA259" s="299"/>
      <c r="BB259" s="242"/>
      <c r="BC259" s="299"/>
    </row>
    <row r="260" s="101" customFormat="1" customHeight="1" spans="1:89">
      <c r="D260" s="322"/>
      <c r="F260" s="318"/>
      <c r="G260" s="238"/>
      <c r="H260" s="238"/>
      <c r="I260" s="278" t="s">
        <v>4414</v>
      </c>
      <c r="J260" s="162">
        <v>18.73</v>
      </c>
      <c r="M260" s="239"/>
      <c r="N260" s="242" t="s">
        <v>3227</v>
      </c>
      <c r="O260" s="157"/>
      <c r="P260" s="318"/>
      <c r="Q260" s="241"/>
      <c r="R260" s="242"/>
      <c r="S260" s="243"/>
      <c r="T260" s="238"/>
      <c r="U260" s="238"/>
      <c r="V260" s="242"/>
      <c r="W260" s="316"/>
      <c r="X260" s="242"/>
      <c r="Y260" s="316"/>
      <c r="AB260" s="242"/>
      <c r="AH260" s="242">
        <f t="shared" si="30"/>
        <v>0</v>
      </c>
      <c r="AK260" s="205"/>
      <c r="AL260" s="318"/>
      <c r="AM260" s="319"/>
      <c r="AN260" s="321"/>
      <c r="AO260" s="101">
        <f t="shared" si="31"/>
        <v>0</v>
      </c>
      <c r="AP260" s="276">
        <v>0.02</v>
      </c>
      <c r="AQ260" s="277">
        <f t="shared" si="32"/>
        <v>0</v>
      </c>
      <c r="AR260" s="242"/>
      <c r="AS260" s="242"/>
      <c r="AT260" s="242"/>
      <c r="AU260" s="242"/>
      <c r="AV260" s="242"/>
      <c r="AW260" s="242"/>
      <c r="AX260" s="242"/>
      <c r="AY260" s="242"/>
      <c r="AZ260" s="242"/>
      <c r="BA260" s="299"/>
      <c r="BB260" s="242"/>
      <c r="BC260" s="299"/>
    </row>
    <row r="261" s="101" customFormat="1" customHeight="1" spans="1:89">
      <c r="D261" s="322"/>
      <c r="G261" s="244"/>
      <c r="H261" s="244"/>
      <c r="I261" s="273" t="s">
        <v>4415</v>
      </c>
      <c r="J261" s="162">
        <v>27.76</v>
      </c>
      <c r="M261" s="239"/>
      <c r="N261" s="242">
        <v>95140</v>
      </c>
      <c r="O261" s="157"/>
      <c r="P261" s="318"/>
      <c r="Q261" s="241"/>
      <c r="R261" s="242"/>
      <c r="S261" s="297"/>
      <c r="T261" s="298"/>
      <c r="U261" s="297"/>
      <c r="V261" s="242"/>
      <c r="W261" s="316"/>
      <c r="AB261" s="242"/>
      <c r="AH261" s="242">
        <f t="shared" si="30"/>
        <v>0</v>
      </c>
      <c r="AK261" s="205"/>
      <c r="AL261" s="318"/>
      <c r="AM261" s="319"/>
      <c r="AN261" s="321"/>
      <c r="AO261" s="101">
        <f t="shared" si="31"/>
        <v>0</v>
      </c>
      <c r="AP261" s="276">
        <v>0.02</v>
      </c>
      <c r="AQ261" s="277">
        <f t="shared" si="32"/>
        <v>0</v>
      </c>
      <c r="AR261" s="242"/>
      <c r="AS261" s="242"/>
      <c r="AT261" s="242"/>
      <c r="AU261" s="242"/>
      <c r="AV261" s="242"/>
      <c r="AW261" s="242"/>
      <c r="AX261" s="242"/>
      <c r="AY261" s="242"/>
      <c r="AZ261" s="242"/>
      <c r="BA261" s="299"/>
      <c r="BB261" s="242"/>
      <c r="BC261" s="299"/>
    </row>
    <row r="262" s="101" customFormat="1" customHeight="1" spans="1:89">
      <c r="A262" s="101">
        <v>209</v>
      </c>
      <c r="F262" s="318"/>
      <c r="G262" s="298"/>
      <c r="H262" s="298"/>
      <c r="I262" s="273" t="s">
        <v>4416</v>
      </c>
      <c r="J262" s="323">
        <v>109.5</v>
      </c>
      <c r="M262" s="239"/>
      <c r="N262" s="242">
        <v>8624</v>
      </c>
      <c r="O262" s="157"/>
      <c r="Q262" s="241"/>
      <c r="R262" s="242"/>
      <c r="S262" s="297"/>
      <c r="T262" s="298"/>
      <c r="U262" s="297"/>
      <c r="V262" s="242"/>
      <c r="W262" s="241"/>
      <c r="X262" s="242"/>
      <c r="Y262" s="241"/>
      <c r="Z262" s="238"/>
      <c r="AA262" s="241"/>
      <c r="AB262" s="242"/>
      <c r="AC262" s="316"/>
      <c r="AD262" s="316"/>
      <c r="AE262" s="316"/>
      <c r="AF262" s="316"/>
      <c r="AG262" s="316"/>
      <c r="AH262" s="242">
        <f t="shared" si="30"/>
        <v>0</v>
      </c>
      <c r="AK262" s="205"/>
      <c r="AL262" s="318"/>
      <c r="AM262" s="319"/>
      <c r="AN262" s="321"/>
      <c r="AO262" s="101">
        <f t="shared" si="31"/>
        <v>0</v>
      </c>
      <c r="AP262" s="158"/>
      <c r="AQ262" s="277">
        <f t="shared" si="32"/>
        <v>0</v>
      </c>
      <c r="AR262" s="242"/>
      <c r="AS262" s="242"/>
      <c r="AT262" s="242"/>
      <c r="AU262" s="242"/>
      <c r="AV262" s="242"/>
      <c r="AW262" s="242"/>
      <c r="AX262" s="242"/>
      <c r="AY262" s="242"/>
      <c r="AZ262" s="242"/>
      <c r="BA262" s="299"/>
      <c r="BB262" s="242"/>
      <c r="BC262" s="299"/>
    </row>
    <row r="263" s="125" customFormat="1" customHeight="1" spans="1:89">
      <c r="A263" s="125">
        <v>210</v>
      </c>
      <c r="C263" s="168">
        <v>45807</v>
      </c>
      <c r="D263" s="294" t="s">
        <v>4417</v>
      </c>
      <c r="E263" s="324" t="s">
        <v>4418</v>
      </c>
      <c r="F263" s="295" t="s">
        <v>4419</v>
      </c>
      <c r="G263" s="292" t="s">
        <v>4420</v>
      </c>
      <c r="H263" s="292"/>
      <c r="I263" s="284" t="s">
        <v>4421</v>
      </c>
      <c r="J263" s="125">
        <v>128.86</v>
      </c>
      <c r="K263" s="125">
        <v>128.86</v>
      </c>
      <c r="L263" s="125">
        <v>8464</v>
      </c>
      <c r="M263" s="325">
        <f>1087370+3301</f>
        <v>1090671</v>
      </c>
      <c r="N263" s="326">
        <v>8414</v>
      </c>
      <c r="O263" s="327">
        <v>1000615.6</v>
      </c>
      <c r="P263" s="294" t="s">
        <v>4422</v>
      </c>
      <c r="Q263" s="328">
        <v>45813</v>
      </c>
      <c r="R263" s="223"/>
      <c r="S263" s="224"/>
      <c r="T263" s="292"/>
      <c r="U263" s="286"/>
      <c r="V263" s="223">
        <v>1090671</v>
      </c>
      <c r="W263" s="224" t="s">
        <v>4423</v>
      </c>
      <c r="Z263" s="223"/>
      <c r="AB263" s="223"/>
      <c r="AH263" s="223">
        <f t="shared" ref="AH263:AH326" si="38">V263+X263+Z263+AB263+AD263+AF263</f>
        <v>1090671</v>
      </c>
      <c r="AK263" s="171">
        <f>M263-AH263</f>
        <v>0</v>
      </c>
      <c r="AL263" s="295" t="s">
        <v>4424</v>
      </c>
      <c r="AM263" s="329"/>
      <c r="AN263" s="330"/>
      <c r="AO263" s="125">
        <f t="shared" ref="AO263:AO326" si="39">SUM(AZ263:CF263)</f>
        <v>0</v>
      </c>
      <c r="AP263" s="166"/>
      <c r="AQ263" s="283">
        <f t="shared" ref="AQ263:AQ326" si="40">AR263+AS263+AT263+AU263+AV263+AW263+AX263+AY263</f>
        <v>0</v>
      </c>
      <c r="AR263" s="223"/>
      <c r="AS263" s="223"/>
      <c r="AT263" s="223"/>
      <c r="AU263" s="223"/>
      <c r="AV263" s="223"/>
      <c r="AW263" s="223"/>
      <c r="AX263" s="223"/>
      <c r="AY263" s="223"/>
      <c r="AZ263" s="223"/>
      <c r="BA263" s="300"/>
      <c r="BB263" s="223"/>
      <c r="BC263" s="300"/>
      <c r="CI263" s="125" t="s">
        <v>260</v>
      </c>
      <c r="CK263" s="125" t="s">
        <v>261</v>
      </c>
    </row>
    <row r="264" s="125" customFormat="1" customHeight="1" spans="1:89">
      <c r="A264" s="125">
        <v>211</v>
      </c>
      <c r="C264" s="168">
        <v>45622</v>
      </c>
      <c r="D264" s="294" t="s">
        <v>4425</v>
      </c>
      <c r="E264" s="324" t="s">
        <v>4426</v>
      </c>
      <c r="F264" s="295" t="s">
        <v>4427</v>
      </c>
      <c r="G264" s="292" t="s">
        <v>4428</v>
      </c>
      <c r="H264" s="292"/>
      <c r="I264" s="281" t="s">
        <v>4429</v>
      </c>
      <c r="J264" s="125">
        <v>126.5</v>
      </c>
      <c r="K264" s="125">
        <v>126.5</v>
      </c>
      <c r="L264" s="125">
        <v>5000</v>
      </c>
      <c r="M264" s="325">
        <v>632500</v>
      </c>
      <c r="N264" s="326">
        <v>5732.1</v>
      </c>
      <c r="O264" s="327">
        <v>580275.23</v>
      </c>
      <c r="P264" s="294" t="s">
        <v>4430</v>
      </c>
      <c r="Q264" s="210">
        <v>45856</v>
      </c>
      <c r="R264" s="223"/>
      <c r="S264" s="224"/>
      <c r="T264" s="174"/>
      <c r="U264" s="224"/>
      <c r="V264" s="223">
        <v>232500</v>
      </c>
      <c r="W264" s="168" t="s">
        <v>392</v>
      </c>
      <c r="X264" s="223">
        <v>400000</v>
      </c>
      <c r="Y264" s="224" t="s">
        <v>4431</v>
      </c>
      <c r="AA264" s="168"/>
      <c r="AB264" s="223"/>
      <c r="AH264" s="223">
        <f t="shared" si="38"/>
        <v>632500</v>
      </c>
      <c r="AK264" s="171">
        <f t="shared" ref="AK264:AK269" si="41">M264-AH264</f>
        <v>0</v>
      </c>
      <c r="AL264" s="295" t="s">
        <v>4432</v>
      </c>
      <c r="AM264" s="329"/>
      <c r="AN264" s="330"/>
      <c r="AO264" s="125">
        <f t="shared" si="39"/>
        <v>0</v>
      </c>
      <c r="AP264" s="166"/>
      <c r="AQ264" s="283">
        <f t="shared" si="40"/>
        <v>0</v>
      </c>
      <c r="AR264" s="223"/>
      <c r="AS264" s="223"/>
      <c r="AT264" s="223"/>
      <c r="AU264" s="223"/>
      <c r="AV264" s="223"/>
      <c r="AW264" s="223"/>
      <c r="AX264" s="223"/>
      <c r="AY264" s="223"/>
      <c r="AZ264" s="223"/>
      <c r="BA264" s="300"/>
      <c r="BB264" s="223"/>
      <c r="BC264" s="300"/>
      <c r="CI264" s="125" t="s">
        <v>260</v>
      </c>
      <c r="CK264" s="125" t="s">
        <v>261</v>
      </c>
    </row>
    <row r="265" s="125" customFormat="1" customHeight="1" spans="1:89">
      <c r="A265" s="125">
        <v>212</v>
      </c>
      <c r="C265" s="168">
        <v>45607</v>
      </c>
      <c r="D265" s="294" t="s">
        <v>4433</v>
      </c>
      <c r="E265" s="324" t="s">
        <v>4434</v>
      </c>
      <c r="F265" s="295" t="s">
        <v>4435</v>
      </c>
      <c r="G265" s="292" t="s">
        <v>4436</v>
      </c>
      <c r="H265" s="292"/>
      <c r="I265" s="284" t="s">
        <v>4437</v>
      </c>
      <c r="J265" s="125">
        <v>126.9</v>
      </c>
      <c r="K265" s="125">
        <v>126.9</v>
      </c>
      <c r="L265" s="125">
        <v>5910.16</v>
      </c>
      <c r="M265" s="325">
        <v>750000</v>
      </c>
      <c r="N265" s="326">
        <v>5714.1</v>
      </c>
      <c r="O265" s="327">
        <v>688073.39</v>
      </c>
      <c r="P265" s="1042" t="s">
        <v>4438</v>
      </c>
      <c r="Q265" s="210">
        <v>45856</v>
      </c>
      <c r="R265" s="223"/>
      <c r="S265" s="224"/>
      <c r="T265" s="174"/>
      <c r="U265" s="224"/>
      <c r="V265" s="223">
        <v>150000</v>
      </c>
      <c r="W265" s="224" t="s">
        <v>3264</v>
      </c>
      <c r="X265" s="223">
        <v>600000</v>
      </c>
      <c r="Y265" s="224" t="s">
        <v>4431</v>
      </c>
      <c r="AB265" s="223"/>
      <c r="AH265" s="223">
        <f t="shared" si="38"/>
        <v>750000</v>
      </c>
      <c r="AK265" s="171">
        <f t="shared" si="41"/>
        <v>0</v>
      </c>
      <c r="AL265" s="295" t="s">
        <v>4439</v>
      </c>
      <c r="AM265" s="329"/>
      <c r="AN265" s="330"/>
      <c r="AO265" s="125">
        <f t="shared" si="39"/>
        <v>0</v>
      </c>
      <c r="AP265" s="166"/>
      <c r="AQ265" s="283">
        <f t="shared" si="40"/>
        <v>0</v>
      </c>
      <c r="AR265" s="223"/>
      <c r="AS265" s="223"/>
      <c r="AT265" s="223"/>
      <c r="AU265" s="223"/>
      <c r="AV265" s="223"/>
      <c r="AW265" s="223"/>
      <c r="AX265" s="223"/>
      <c r="AY265" s="223"/>
      <c r="AZ265" s="223"/>
      <c r="BA265" s="300"/>
      <c r="BB265" s="223"/>
      <c r="BC265" s="300"/>
      <c r="CI265" s="125" t="s">
        <v>260</v>
      </c>
      <c r="CK265" s="125" t="s">
        <v>261</v>
      </c>
    </row>
    <row r="266" s="125" customFormat="1" customHeight="1" spans="1:89">
      <c r="A266" s="125">
        <v>213</v>
      </c>
      <c r="C266" s="168">
        <v>45263</v>
      </c>
      <c r="D266" s="125">
        <v>20230010087</v>
      </c>
      <c r="F266" s="295" t="s">
        <v>4440</v>
      </c>
      <c r="G266" s="292" t="s">
        <v>4441</v>
      </c>
      <c r="H266" s="1039" t="s">
        <v>4442</v>
      </c>
      <c r="I266" s="284" t="s">
        <v>4443</v>
      </c>
      <c r="J266" s="125">
        <v>126.5</v>
      </c>
      <c r="K266" s="125">
        <v>126.5</v>
      </c>
      <c r="L266" s="125">
        <v>5782.38</v>
      </c>
      <c r="M266" s="325">
        <v>731471</v>
      </c>
      <c r="N266" s="326">
        <v>5782</v>
      </c>
      <c r="O266" s="165">
        <v>671074.31</v>
      </c>
      <c r="P266" s="294" t="s">
        <v>4444</v>
      </c>
      <c r="Q266" s="210">
        <v>45856</v>
      </c>
      <c r="R266" s="223"/>
      <c r="S266" s="224"/>
      <c r="T266" s="174"/>
      <c r="U266" s="224" t="s">
        <v>370</v>
      </c>
      <c r="V266" s="223">
        <v>20000</v>
      </c>
      <c r="W266" s="224" t="s">
        <v>4445</v>
      </c>
      <c r="X266" s="223">
        <v>131471</v>
      </c>
      <c r="Y266" s="224" t="s">
        <v>3169</v>
      </c>
      <c r="Z266" s="125">
        <v>580000</v>
      </c>
      <c r="AA266" s="125" t="s">
        <v>333</v>
      </c>
      <c r="AB266" s="223"/>
      <c r="AH266" s="223">
        <f t="shared" si="38"/>
        <v>731471</v>
      </c>
      <c r="AK266" s="171">
        <f t="shared" si="41"/>
        <v>0</v>
      </c>
      <c r="AL266" s="295"/>
      <c r="AM266" s="329"/>
      <c r="AN266" s="330"/>
      <c r="AO266" s="125">
        <f t="shared" si="39"/>
        <v>731471</v>
      </c>
      <c r="AP266" s="166">
        <f>0.7%+0.02%+0.08%</f>
        <v>0.008</v>
      </c>
      <c r="AQ266" s="283">
        <f t="shared" si="40"/>
        <v>0</v>
      </c>
      <c r="AR266" s="223"/>
      <c r="AS266" s="223"/>
      <c r="AT266" s="223"/>
      <c r="AU266" s="223"/>
      <c r="AV266" s="223"/>
      <c r="AW266" s="223"/>
      <c r="AX266" s="223"/>
      <c r="AY266" s="223"/>
      <c r="AZ266" s="223"/>
      <c r="BB266" s="223"/>
      <c r="BD266" s="125">
        <v>731471</v>
      </c>
      <c r="CI266" s="125" t="s">
        <v>260</v>
      </c>
      <c r="CJ266" s="125" t="s">
        <v>271</v>
      </c>
      <c r="CK266" s="125" t="s">
        <v>261</v>
      </c>
    </row>
    <row r="267" s="125" customFormat="1" customHeight="1" spans="1:89">
      <c r="A267" s="125">
        <v>214</v>
      </c>
      <c r="C267" s="168">
        <v>45231</v>
      </c>
      <c r="D267" s="294" t="s">
        <v>4446</v>
      </c>
      <c r="F267" s="295" t="s">
        <v>4447</v>
      </c>
      <c r="G267" s="292" t="s">
        <v>4448</v>
      </c>
      <c r="H267" s="1039" t="s">
        <v>4449</v>
      </c>
      <c r="I267" s="284" t="s">
        <v>4450</v>
      </c>
      <c r="J267" s="125">
        <v>126.9</v>
      </c>
      <c r="K267" s="125">
        <v>126.9</v>
      </c>
      <c r="L267" s="125">
        <v>5770</v>
      </c>
      <c r="M267" s="282">
        <f>K267*L267</f>
        <v>732213</v>
      </c>
      <c r="N267" s="326">
        <v>5764.38</v>
      </c>
      <c r="O267" s="165">
        <v>671755.05</v>
      </c>
      <c r="P267" s="294" t="s">
        <v>4451</v>
      </c>
      <c r="Q267" s="210">
        <v>45856</v>
      </c>
      <c r="R267" s="223"/>
      <c r="T267" s="174"/>
      <c r="U267" s="125" t="s">
        <v>380</v>
      </c>
      <c r="V267" s="223">
        <v>20000</v>
      </c>
      <c r="W267" s="125" t="s">
        <v>2526</v>
      </c>
      <c r="X267" s="223">
        <v>50000</v>
      </c>
      <c r="Y267" s="125" t="s">
        <v>2602</v>
      </c>
      <c r="Z267" s="125">
        <v>50000</v>
      </c>
      <c r="AA267" s="125" t="s">
        <v>2161</v>
      </c>
      <c r="AB267" s="223">
        <v>50000</v>
      </c>
      <c r="AC267" s="125" t="s">
        <v>618</v>
      </c>
      <c r="AD267" s="223">
        <f>42213+10000</f>
        <v>52213</v>
      </c>
      <c r="AE267" s="125" t="s">
        <v>1381</v>
      </c>
      <c r="AF267" s="223">
        <v>510000</v>
      </c>
      <c r="AG267" s="125" t="s">
        <v>4452</v>
      </c>
      <c r="AH267" s="223">
        <f t="shared" si="38"/>
        <v>732213</v>
      </c>
      <c r="AK267" s="171">
        <f t="shared" si="41"/>
        <v>0</v>
      </c>
      <c r="AL267" s="295" t="s">
        <v>4453</v>
      </c>
      <c r="AM267" s="329"/>
      <c r="AN267" s="330"/>
      <c r="AO267" s="125">
        <f t="shared" si="39"/>
        <v>732213</v>
      </c>
      <c r="AP267" s="166">
        <f>0.5%+0.05%+0.12%</f>
        <v>0.0067</v>
      </c>
      <c r="AQ267" s="283">
        <f t="shared" si="40"/>
        <v>0</v>
      </c>
      <c r="AR267" s="223"/>
      <c r="AS267" s="223"/>
      <c r="AT267" s="223"/>
      <c r="AU267" s="223"/>
      <c r="AV267" s="223"/>
      <c r="AW267" s="223"/>
      <c r="AX267" s="223"/>
      <c r="AY267" s="223"/>
      <c r="AZ267" s="223"/>
      <c r="BA267" s="300"/>
      <c r="BB267" s="223"/>
      <c r="BC267" s="300">
        <v>222213</v>
      </c>
      <c r="BH267" s="125">
        <v>510000</v>
      </c>
      <c r="CI267" s="125" t="s">
        <v>260</v>
      </c>
      <c r="CJ267" s="125" t="s">
        <v>271</v>
      </c>
      <c r="CK267" s="125" t="s">
        <v>261</v>
      </c>
    </row>
    <row r="268" s="125" customFormat="1" customHeight="1" spans="1:89">
      <c r="A268" s="125">
        <v>215</v>
      </c>
      <c r="C268" s="168">
        <v>45234</v>
      </c>
      <c r="D268" s="294" t="s">
        <v>4454</v>
      </c>
      <c r="F268" s="295" t="s">
        <v>4455</v>
      </c>
      <c r="G268" s="174" t="s">
        <v>4456</v>
      </c>
      <c r="H268" s="174"/>
      <c r="I268" s="284" t="s">
        <v>4457</v>
      </c>
      <c r="J268" s="125">
        <v>126.5</v>
      </c>
      <c r="K268" s="125">
        <v>126.5</v>
      </c>
      <c r="L268" s="125">
        <v>5833.99</v>
      </c>
      <c r="M268" s="325">
        <v>738000</v>
      </c>
      <c r="N268" s="326">
        <v>5812.38</v>
      </c>
      <c r="O268" s="165">
        <v>677064.22</v>
      </c>
      <c r="P268" s="294" t="s">
        <v>4458</v>
      </c>
      <c r="Q268" s="210">
        <v>45856</v>
      </c>
      <c r="R268" s="223"/>
      <c r="S268" s="224"/>
      <c r="T268" s="174"/>
      <c r="U268" s="174" t="s">
        <v>277</v>
      </c>
      <c r="V268" s="223">
        <v>20000</v>
      </c>
      <c r="W268" s="224" t="s">
        <v>4459</v>
      </c>
      <c r="X268" s="223">
        <v>218000</v>
      </c>
      <c r="Y268" s="224" t="s">
        <v>4460</v>
      </c>
      <c r="Z268" s="174">
        <v>500000</v>
      </c>
      <c r="AA268" s="210" t="s">
        <v>304</v>
      </c>
      <c r="AB268" s="223"/>
      <c r="AH268" s="223">
        <f t="shared" si="38"/>
        <v>738000</v>
      </c>
      <c r="AK268" s="171">
        <f t="shared" si="41"/>
        <v>0</v>
      </c>
      <c r="AL268" s="295" t="s">
        <v>4461</v>
      </c>
      <c r="AM268" s="329"/>
      <c r="AN268" s="330"/>
      <c r="AO268" s="125">
        <f t="shared" si="39"/>
        <v>738000</v>
      </c>
      <c r="AP268" s="166">
        <f>0.5%+0.02%+0.08%</f>
        <v>0.006</v>
      </c>
      <c r="AQ268" s="283">
        <f t="shared" si="40"/>
        <v>0</v>
      </c>
      <c r="AR268" s="223"/>
      <c r="AS268" s="223"/>
      <c r="AT268" s="223"/>
      <c r="AU268" s="223"/>
      <c r="AV268" s="223"/>
      <c r="AW268" s="223"/>
      <c r="AX268" s="223"/>
      <c r="AY268" s="223"/>
      <c r="AZ268" s="223"/>
      <c r="BA268" s="300"/>
      <c r="BB268" s="223"/>
      <c r="BC268" s="300">
        <v>738000</v>
      </c>
      <c r="CI268" s="125" t="s">
        <v>260</v>
      </c>
      <c r="CJ268" s="125" t="s">
        <v>271</v>
      </c>
      <c r="CK268" s="125" t="s">
        <v>261</v>
      </c>
    </row>
    <row r="269" s="125" customFormat="1" customHeight="1" spans="1:89">
      <c r="A269" s="125">
        <v>216</v>
      </c>
      <c r="B269" s="125"/>
      <c r="C269" s="168">
        <v>45612</v>
      </c>
      <c r="D269" s="294" t="s">
        <v>4462</v>
      </c>
      <c r="F269" s="331" t="s">
        <v>4463</v>
      </c>
      <c r="G269" s="174" t="s">
        <v>4464</v>
      </c>
      <c r="H269" s="1038" t="s">
        <v>4465</v>
      </c>
      <c r="I269" s="284" t="s">
        <v>4466</v>
      </c>
      <c r="J269" s="125">
        <v>126.9</v>
      </c>
      <c r="K269" s="125">
        <v>126.9</v>
      </c>
      <c r="L269" s="125">
        <v>5752.56</v>
      </c>
      <c r="M269" s="325">
        <v>730000</v>
      </c>
      <c r="N269" s="326">
        <v>5794.38</v>
      </c>
      <c r="O269" s="327">
        <v>669724.77</v>
      </c>
      <c r="P269" s="294" t="s">
        <v>4467</v>
      </c>
      <c r="Q269" s="210">
        <v>45856</v>
      </c>
      <c r="R269" s="223"/>
      <c r="S269" s="224"/>
      <c r="T269" s="292"/>
      <c r="U269" s="286" t="s">
        <v>267</v>
      </c>
      <c r="V269" s="223">
        <v>20000</v>
      </c>
      <c r="W269" s="224" t="s">
        <v>3264</v>
      </c>
      <c r="X269" s="223">
        <v>710000</v>
      </c>
      <c r="Y269" s="210" t="s">
        <v>779</v>
      </c>
      <c r="AA269" s="168"/>
      <c r="AB269" s="223"/>
      <c r="AC269" s="168"/>
      <c r="AD269" s="168"/>
      <c r="AE269" s="168"/>
      <c r="AF269" s="168"/>
      <c r="AG269" s="168"/>
      <c r="AH269" s="223">
        <f t="shared" si="38"/>
        <v>730000</v>
      </c>
      <c r="AK269" s="171">
        <f t="shared" si="41"/>
        <v>0</v>
      </c>
      <c r="AL269" s="295"/>
      <c r="AM269" s="329"/>
      <c r="AN269" s="330"/>
      <c r="AO269" s="125">
        <f t="shared" si="39"/>
        <v>730000</v>
      </c>
      <c r="AP269" s="166">
        <f>0.6%+0.08%+0.03%</f>
        <v>0.0071</v>
      </c>
      <c r="AQ269" s="283">
        <f t="shared" si="40"/>
        <v>0</v>
      </c>
      <c r="AR269" s="223"/>
      <c r="AS269" s="223"/>
      <c r="AT269" s="223"/>
      <c r="AU269" s="223"/>
      <c r="AV269" s="223"/>
      <c r="AW269" s="223"/>
      <c r="AX269" s="223"/>
      <c r="AY269" s="223"/>
      <c r="AZ269" s="223"/>
      <c r="BA269" s="300"/>
      <c r="BB269" s="223"/>
      <c r="BC269" s="300"/>
      <c r="BO269" s="125">
        <v>730000</v>
      </c>
      <c r="CI269" s="125" t="s">
        <v>260</v>
      </c>
      <c r="CK269" s="125" t="s">
        <v>261</v>
      </c>
    </row>
    <row r="270" s="125" customFormat="1" customHeight="1" spans="1:89">
      <c r="A270" s="125">
        <v>217</v>
      </c>
      <c r="C270" s="168">
        <v>45166</v>
      </c>
      <c r="D270" s="294" t="s">
        <v>4468</v>
      </c>
      <c r="F270" s="295" t="s">
        <v>4469</v>
      </c>
      <c r="G270" s="174" t="s">
        <v>4470</v>
      </c>
      <c r="H270" s="1038" t="s">
        <v>4471</v>
      </c>
      <c r="I270" s="284" t="s">
        <v>4472</v>
      </c>
      <c r="J270" s="125">
        <v>126.5</v>
      </c>
      <c r="K270" s="125">
        <v>126.5</v>
      </c>
      <c r="L270" s="125">
        <v>5883</v>
      </c>
      <c r="M270" s="282">
        <v>744200</v>
      </c>
      <c r="N270" s="326">
        <v>5882.38</v>
      </c>
      <c r="O270" s="165">
        <v>682752.29</v>
      </c>
      <c r="P270" s="294" t="s">
        <v>4473</v>
      </c>
      <c r="Q270" s="210">
        <v>45856</v>
      </c>
      <c r="R270" s="223"/>
      <c r="T270" s="292"/>
      <c r="U270" s="125" t="s">
        <v>561</v>
      </c>
      <c r="V270" s="223">
        <v>20000</v>
      </c>
      <c r="W270" s="125" t="s">
        <v>1666</v>
      </c>
      <c r="X270" s="223">
        <f>9200+120000</f>
        <v>129200</v>
      </c>
      <c r="Y270" s="168" t="s">
        <v>446</v>
      </c>
      <c r="Z270" s="213">
        <v>595000</v>
      </c>
      <c r="AA270" s="168" t="s">
        <v>1500</v>
      </c>
      <c r="AB270" s="223"/>
      <c r="AH270" s="223">
        <f t="shared" si="38"/>
        <v>744200</v>
      </c>
      <c r="AK270" s="171">
        <f t="shared" ref="AK270:AK281" si="42">M270-AH270</f>
        <v>0</v>
      </c>
      <c r="AL270" s="295" t="s">
        <v>4474</v>
      </c>
      <c r="AM270" s="329"/>
      <c r="AN270" s="330"/>
      <c r="AO270" s="125">
        <f t="shared" si="39"/>
        <v>744200</v>
      </c>
      <c r="AP270" s="166">
        <f>0.7%+0.05%+0.12%</f>
        <v>0.0087</v>
      </c>
      <c r="AQ270" s="283">
        <f t="shared" si="40"/>
        <v>0</v>
      </c>
      <c r="AR270" s="223"/>
      <c r="AS270" s="223"/>
      <c r="AT270" s="223"/>
      <c r="AU270" s="223"/>
      <c r="AV270" s="223"/>
      <c r="AW270" s="223"/>
      <c r="AX270" s="223"/>
      <c r="AY270" s="223"/>
      <c r="AZ270" s="223">
        <v>149200</v>
      </c>
      <c r="BA270" s="300"/>
      <c r="BB270" s="223"/>
      <c r="BC270" s="300">
        <v>595000</v>
      </c>
      <c r="CI270" s="125" t="s">
        <v>260</v>
      </c>
      <c r="CJ270" s="125" t="s">
        <v>271</v>
      </c>
      <c r="CK270" s="125" t="s">
        <v>261</v>
      </c>
    </row>
    <row r="271" s="125" customFormat="1" ht="53" customHeight="1" spans="1:89">
      <c r="A271" s="125">
        <v>218</v>
      </c>
      <c r="C271" s="168">
        <v>45307</v>
      </c>
      <c r="D271" s="294" t="s">
        <v>4475</v>
      </c>
      <c r="F271" s="295" t="s">
        <v>4476</v>
      </c>
      <c r="G271" s="292" t="s">
        <v>4477</v>
      </c>
      <c r="H271" s="174"/>
      <c r="I271" s="284" t="s">
        <v>4478</v>
      </c>
      <c r="J271" s="125">
        <v>126.9</v>
      </c>
      <c r="K271" s="125">
        <v>126.9</v>
      </c>
      <c r="L271" s="125">
        <v>5870.764</v>
      </c>
      <c r="M271" s="282">
        <v>745000</v>
      </c>
      <c r="N271" s="223">
        <v>5864.38</v>
      </c>
      <c r="O271" s="165">
        <v>683486.24</v>
      </c>
      <c r="P271" s="294" t="s">
        <v>4479</v>
      </c>
      <c r="Q271" s="210">
        <v>45856</v>
      </c>
      <c r="R271" s="223"/>
      <c r="S271" s="168"/>
      <c r="T271" s="1038" t="s">
        <v>4480</v>
      </c>
      <c r="U271" s="175" t="s">
        <v>4481</v>
      </c>
      <c r="V271" s="223">
        <v>10000</v>
      </c>
      <c r="W271" s="125" t="s">
        <v>2734</v>
      </c>
      <c r="X271" s="223">
        <v>-10000</v>
      </c>
      <c r="Y271" s="125" t="s">
        <v>2595</v>
      </c>
      <c r="Z271" s="223">
        <v>20000</v>
      </c>
      <c r="AA271" s="125" t="s">
        <v>480</v>
      </c>
      <c r="AB271" s="223">
        <v>204000</v>
      </c>
      <c r="AC271" s="125" t="s">
        <v>4022</v>
      </c>
      <c r="AD271" s="223">
        <v>521000</v>
      </c>
      <c r="AE271" s="168">
        <v>45562</v>
      </c>
      <c r="AH271" s="223">
        <f t="shared" si="38"/>
        <v>745000</v>
      </c>
      <c r="AK271" s="171">
        <f t="shared" si="42"/>
        <v>0</v>
      </c>
      <c r="AL271" s="295"/>
      <c r="AM271" s="329"/>
      <c r="AN271" s="330"/>
      <c r="AO271" s="125">
        <f t="shared" si="39"/>
        <v>745000</v>
      </c>
      <c r="AP271" s="169">
        <f>0.4%+0.02%+0.08%</f>
        <v>0.005</v>
      </c>
      <c r="AQ271" s="283">
        <f t="shared" si="40"/>
        <v>100</v>
      </c>
      <c r="AR271" s="223"/>
      <c r="AS271" s="223">
        <v>100</v>
      </c>
      <c r="AT271" s="223"/>
      <c r="AU271" s="223"/>
      <c r="AV271" s="223"/>
      <c r="AW271" s="223"/>
      <c r="AX271" s="223"/>
      <c r="AY271" s="223"/>
      <c r="AZ271" s="223"/>
      <c r="BA271" s="300"/>
      <c r="BB271" s="223"/>
      <c r="BC271" s="300"/>
      <c r="BE271" s="125">
        <v>224000</v>
      </c>
      <c r="BM271" s="125">
        <v>521000</v>
      </c>
      <c r="CI271" s="125" t="s">
        <v>260</v>
      </c>
      <c r="CJ271" s="125" t="s">
        <v>271</v>
      </c>
      <c r="CK271" s="125" t="s">
        <v>261</v>
      </c>
    </row>
    <row r="272" s="125" customFormat="1" customHeight="1" spans="1:89">
      <c r="A272" s="125">
        <v>219</v>
      </c>
      <c r="C272" s="168">
        <v>45155</v>
      </c>
      <c r="D272" s="294" t="s">
        <v>4482</v>
      </c>
      <c r="F272" s="295" t="s">
        <v>4483</v>
      </c>
      <c r="G272" s="174" t="s">
        <v>4484</v>
      </c>
      <c r="H272" s="1038" t="s">
        <v>4485</v>
      </c>
      <c r="I272" s="284" t="s">
        <v>4486</v>
      </c>
      <c r="J272" s="125">
        <v>126.5</v>
      </c>
      <c r="K272" s="125">
        <v>126.5</v>
      </c>
      <c r="L272" s="125">
        <v>5897.38</v>
      </c>
      <c r="M272" s="282">
        <v>746019</v>
      </c>
      <c r="N272" s="223">
        <f>5947.38-50</f>
        <v>5897.38</v>
      </c>
      <c r="O272" s="165">
        <v>684421.1</v>
      </c>
      <c r="P272" s="294" t="s">
        <v>4487</v>
      </c>
      <c r="Q272" s="210">
        <v>45856</v>
      </c>
      <c r="R272" s="223"/>
      <c r="S272" s="224"/>
      <c r="T272" s="1038" t="s">
        <v>1393</v>
      </c>
      <c r="U272" s="224" t="s">
        <v>561</v>
      </c>
      <c r="V272" s="223">
        <v>10000</v>
      </c>
      <c r="W272" s="224" t="s">
        <v>2274</v>
      </c>
      <c r="X272" s="223">
        <v>10000</v>
      </c>
      <c r="Y272" s="168" t="s">
        <v>917</v>
      </c>
      <c r="Z272" s="223">
        <v>130019</v>
      </c>
      <c r="AA272" s="224" t="s">
        <v>1787</v>
      </c>
      <c r="AB272" s="223">
        <v>596000</v>
      </c>
      <c r="AC272" s="224" t="s">
        <v>4488</v>
      </c>
      <c r="AH272" s="223">
        <f t="shared" si="38"/>
        <v>746019</v>
      </c>
      <c r="AK272" s="171">
        <f t="shared" si="42"/>
        <v>0</v>
      </c>
      <c r="AL272" s="295" t="s">
        <v>4489</v>
      </c>
      <c r="AM272" s="329"/>
      <c r="AN272" s="330"/>
      <c r="AO272" s="125">
        <f t="shared" si="39"/>
        <v>746019</v>
      </c>
      <c r="AP272" s="166">
        <f>0.7%+0.05%+0.14%</f>
        <v>0.0089</v>
      </c>
      <c r="AQ272" s="283">
        <f t="shared" si="40"/>
        <v>300</v>
      </c>
      <c r="AR272" s="223"/>
      <c r="AS272" s="223"/>
      <c r="AT272" s="223"/>
      <c r="AU272" s="223"/>
      <c r="AV272" s="223">
        <f>100+200</f>
        <v>300</v>
      </c>
      <c r="AW272" s="223"/>
      <c r="AX272" s="223"/>
      <c r="AY272" s="223"/>
      <c r="AZ272" s="223">
        <v>150019</v>
      </c>
      <c r="BA272" s="300"/>
      <c r="BB272" s="223"/>
      <c r="BC272" s="300"/>
      <c r="BF272" s="125">
        <v>596000</v>
      </c>
      <c r="CI272" s="125" t="s">
        <v>260</v>
      </c>
      <c r="CJ272" s="125" t="s">
        <v>271</v>
      </c>
      <c r="CK272" s="125" t="s">
        <v>261</v>
      </c>
    </row>
    <row r="273" s="125" customFormat="1" customHeight="1" spans="1:89">
      <c r="A273" s="125">
        <v>220</v>
      </c>
      <c r="C273" s="168">
        <v>45417</v>
      </c>
      <c r="D273" s="294" t="s">
        <v>4490</v>
      </c>
      <c r="F273" s="295" t="s">
        <v>4491</v>
      </c>
      <c r="G273" s="292" t="s">
        <v>4492</v>
      </c>
      <c r="H273" s="174"/>
      <c r="I273" s="284" t="s">
        <v>4493</v>
      </c>
      <c r="J273" s="125">
        <v>126.9</v>
      </c>
      <c r="K273" s="125">
        <v>126.9</v>
      </c>
      <c r="L273" s="125">
        <f>M273/K273</f>
        <v>5930</v>
      </c>
      <c r="M273" s="282">
        <v>752517</v>
      </c>
      <c r="N273" s="223">
        <v>5929.38</v>
      </c>
      <c r="O273" s="327">
        <v>690382.57</v>
      </c>
      <c r="P273" s="294" t="s">
        <v>4494</v>
      </c>
      <c r="Q273" s="210">
        <v>45856</v>
      </c>
      <c r="R273" s="223"/>
      <c r="S273" s="224"/>
      <c r="T273" s="292"/>
      <c r="U273" s="292" t="s">
        <v>546</v>
      </c>
      <c r="V273" s="223">
        <v>15517</v>
      </c>
      <c r="W273" s="224" t="s">
        <v>965</v>
      </c>
      <c r="X273" s="223">
        <v>135000</v>
      </c>
      <c r="Y273" s="224" t="s">
        <v>3925</v>
      </c>
      <c r="Z273" s="125">
        <v>150000</v>
      </c>
      <c r="AA273" s="125" t="s">
        <v>4495</v>
      </c>
      <c r="AB273" s="223">
        <v>452000</v>
      </c>
      <c r="AC273" s="224" t="s">
        <v>483</v>
      </c>
      <c r="AH273" s="223">
        <f t="shared" si="38"/>
        <v>752517</v>
      </c>
      <c r="AK273" s="171">
        <f t="shared" si="42"/>
        <v>0</v>
      </c>
      <c r="AL273" s="295" t="s">
        <v>4496</v>
      </c>
      <c r="AM273" s="329"/>
      <c r="AN273" s="330"/>
      <c r="AO273" s="125">
        <f t="shared" si="39"/>
        <v>752517</v>
      </c>
      <c r="AP273" s="166">
        <f>0.7%+0.08%</f>
        <v>0.0078</v>
      </c>
      <c r="AQ273" s="283">
        <f t="shared" si="40"/>
        <v>300</v>
      </c>
      <c r="AR273" s="283">
        <v>100</v>
      </c>
      <c r="AS273" s="223"/>
      <c r="AT273" s="223"/>
      <c r="AU273" s="223"/>
      <c r="AV273" s="223">
        <v>200</v>
      </c>
      <c r="AW273" s="223"/>
      <c r="AX273" s="223"/>
      <c r="AY273" s="223"/>
      <c r="AZ273" s="223"/>
      <c r="BA273" s="300"/>
      <c r="BB273" s="223"/>
      <c r="BC273" s="300"/>
      <c r="BJ273" s="125">
        <v>300517</v>
      </c>
      <c r="BK273" s="125">
        <v>452000</v>
      </c>
      <c r="CI273" s="125" t="s">
        <v>260</v>
      </c>
      <c r="CJ273" s="125" t="s">
        <v>271</v>
      </c>
      <c r="CK273" s="125" t="s">
        <v>261</v>
      </c>
    </row>
    <row r="274" s="125" customFormat="1" customHeight="1" spans="1:89">
      <c r="A274" s="125">
        <v>221</v>
      </c>
      <c r="C274" s="168">
        <v>45200</v>
      </c>
      <c r="D274" s="294" t="s">
        <v>4497</v>
      </c>
      <c r="F274" s="295" t="s">
        <v>4498</v>
      </c>
      <c r="G274" s="174" t="s">
        <v>4499</v>
      </c>
      <c r="H274" s="1038" t="s">
        <v>4500</v>
      </c>
      <c r="I274" s="284" t="s">
        <v>4501</v>
      </c>
      <c r="J274" s="125">
        <v>126.5</v>
      </c>
      <c r="K274" s="125">
        <v>126.5</v>
      </c>
      <c r="L274" s="125">
        <v>5992.38</v>
      </c>
      <c r="M274" s="282">
        <v>758036</v>
      </c>
      <c r="N274" s="223">
        <v>5992.38</v>
      </c>
      <c r="O274" s="165">
        <v>695445.87</v>
      </c>
      <c r="P274" s="294" t="s">
        <v>4502</v>
      </c>
      <c r="Q274" s="210">
        <v>45856</v>
      </c>
      <c r="R274" s="223"/>
      <c r="S274" s="224"/>
      <c r="T274" s="174"/>
      <c r="U274" s="224" t="s">
        <v>370</v>
      </c>
      <c r="V274" s="223">
        <v>20000</v>
      </c>
      <c r="W274" s="224" t="s">
        <v>455</v>
      </c>
      <c r="X274" s="223">
        <v>138036</v>
      </c>
      <c r="Y274" s="224" t="s">
        <v>2797</v>
      </c>
      <c r="Z274" s="125">
        <v>600000</v>
      </c>
      <c r="AA274" s="125" t="s">
        <v>1500</v>
      </c>
      <c r="AB274" s="223"/>
      <c r="AH274" s="223">
        <f t="shared" si="38"/>
        <v>758036</v>
      </c>
      <c r="AK274" s="171">
        <f t="shared" si="42"/>
        <v>0</v>
      </c>
      <c r="AL274" s="295" t="s">
        <v>4503</v>
      </c>
      <c r="AM274" s="329"/>
      <c r="AN274" s="330"/>
      <c r="AO274" s="125">
        <f t="shared" si="39"/>
        <v>758036</v>
      </c>
      <c r="AP274" s="166">
        <f>0.7%+0.05%+0.12%</f>
        <v>0.0087</v>
      </c>
      <c r="AQ274" s="283">
        <f t="shared" si="40"/>
        <v>0</v>
      </c>
      <c r="AR274" s="283"/>
      <c r="AS274" s="223"/>
      <c r="AT274" s="223"/>
      <c r="AU274" s="223"/>
      <c r="AV274" s="223"/>
      <c r="AW274" s="223"/>
      <c r="AX274" s="223"/>
      <c r="AY274" s="223"/>
      <c r="AZ274" s="223"/>
      <c r="BA274" s="300"/>
      <c r="BB274" s="223">
        <v>158036</v>
      </c>
      <c r="BC274" s="300">
        <v>600000</v>
      </c>
      <c r="CI274" s="125" t="s">
        <v>260</v>
      </c>
      <c r="CJ274" s="125" t="s">
        <v>271</v>
      </c>
      <c r="CK274" s="125" t="s">
        <v>261</v>
      </c>
    </row>
    <row r="275" s="125" customFormat="1" customHeight="1" spans="1:89">
      <c r="A275" s="125">
        <v>222</v>
      </c>
      <c r="C275" s="168">
        <v>45375</v>
      </c>
      <c r="D275" s="294" t="s">
        <v>4504</v>
      </c>
      <c r="F275" s="295" t="s">
        <v>4505</v>
      </c>
      <c r="G275" s="174" t="s">
        <v>4506</v>
      </c>
      <c r="H275" s="1038" t="s">
        <v>4507</v>
      </c>
      <c r="I275" s="284" t="s">
        <v>4508</v>
      </c>
      <c r="J275" s="125">
        <v>126.9</v>
      </c>
      <c r="K275" s="125">
        <v>126.9</v>
      </c>
      <c r="L275" s="125">
        <v>5988.96</v>
      </c>
      <c r="M275" s="282">
        <v>760000</v>
      </c>
      <c r="N275" s="223">
        <v>5974.38</v>
      </c>
      <c r="O275" s="165">
        <v>697247.71</v>
      </c>
      <c r="P275" s="294" t="s">
        <v>4509</v>
      </c>
      <c r="Q275" s="328">
        <v>45876</v>
      </c>
      <c r="R275" s="223"/>
      <c r="S275" s="224"/>
      <c r="T275" s="174"/>
      <c r="U275" s="224" t="s">
        <v>277</v>
      </c>
      <c r="V275" s="223">
        <f>20000</f>
        <v>20000</v>
      </c>
      <c r="W275" s="224" t="s">
        <v>1078</v>
      </c>
      <c r="X275" s="223">
        <f>40000+34000</f>
        <v>74000</v>
      </c>
      <c r="Y275" s="168" t="s">
        <v>4083</v>
      </c>
      <c r="Z275" s="223">
        <v>58000</v>
      </c>
      <c r="AA275" s="224" t="s">
        <v>268</v>
      </c>
      <c r="AB275" s="223">
        <v>608000</v>
      </c>
      <c r="AC275" s="224" t="s">
        <v>4510</v>
      </c>
      <c r="AH275" s="223">
        <f t="shared" si="38"/>
        <v>760000</v>
      </c>
      <c r="AK275" s="171">
        <f t="shared" si="42"/>
        <v>0</v>
      </c>
      <c r="AL275" s="295" t="s">
        <v>4511</v>
      </c>
      <c r="AM275" s="329"/>
      <c r="AN275" s="330"/>
      <c r="AO275" s="125">
        <f t="shared" si="39"/>
        <v>760000</v>
      </c>
      <c r="AP275" s="169">
        <f>0.7%+0.05%+0.12%</f>
        <v>0.0087</v>
      </c>
      <c r="AQ275" s="283">
        <f t="shared" si="40"/>
        <v>0</v>
      </c>
      <c r="AR275" s="283"/>
      <c r="AS275" s="223"/>
      <c r="AT275" s="223"/>
      <c r="AU275" s="223"/>
      <c r="AV275" s="223"/>
      <c r="AW275" s="223"/>
      <c r="AX275" s="223"/>
      <c r="AY275" s="223"/>
      <c r="AZ275" s="223"/>
      <c r="BA275" s="300"/>
      <c r="BB275" s="223"/>
      <c r="BC275" s="300"/>
      <c r="BH275" s="125">
        <v>152000</v>
      </c>
      <c r="BL275" s="125">
        <v>608000</v>
      </c>
      <c r="CI275" s="125" t="s">
        <v>260</v>
      </c>
      <c r="CJ275" s="125" t="s">
        <v>271</v>
      </c>
      <c r="CK275" s="125" t="s">
        <v>261</v>
      </c>
    </row>
    <row r="276" s="125" customFormat="1" customHeight="1" spans="1:89">
      <c r="A276" s="125">
        <v>223</v>
      </c>
      <c r="C276" s="168">
        <v>45464</v>
      </c>
      <c r="D276" s="294" t="s">
        <v>4512</v>
      </c>
      <c r="F276" s="295" t="s">
        <v>4513</v>
      </c>
      <c r="G276" s="174" t="s">
        <v>4514</v>
      </c>
      <c r="H276" s="1038" t="s">
        <v>4515</v>
      </c>
      <c r="I276" s="284" t="s">
        <v>4516</v>
      </c>
      <c r="J276" s="125">
        <v>126.5</v>
      </c>
      <c r="K276" s="125">
        <v>126.5</v>
      </c>
      <c r="L276" s="125">
        <v>6017.38</v>
      </c>
      <c r="M276" s="282">
        <v>761199</v>
      </c>
      <c r="N276" s="223">
        <v>6017.38</v>
      </c>
      <c r="O276" s="327">
        <v>698347.71</v>
      </c>
      <c r="P276" s="294" t="s">
        <v>4517</v>
      </c>
      <c r="Q276" s="328">
        <v>45876</v>
      </c>
      <c r="R276" s="223"/>
      <c r="S276" s="224"/>
      <c r="T276" s="174"/>
      <c r="U276" s="224" t="s">
        <v>294</v>
      </c>
      <c r="V276" s="223">
        <v>20000</v>
      </c>
      <c r="W276" s="224" t="s">
        <v>458</v>
      </c>
      <c r="X276" s="223">
        <v>152199</v>
      </c>
      <c r="Y276" s="168" t="s">
        <v>704</v>
      </c>
      <c r="Z276" s="223">
        <v>92000</v>
      </c>
      <c r="AA276" s="224" t="s">
        <v>629</v>
      </c>
      <c r="AB276" s="223">
        <v>497000</v>
      </c>
      <c r="AC276" s="224" t="s">
        <v>3274</v>
      </c>
      <c r="AH276" s="223">
        <f t="shared" si="38"/>
        <v>761199</v>
      </c>
      <c r="AK276" s="171">
        <f t="shared" si="42"/>
        <v>0</v>
      </c>
      <c r="AL276" s="295" t="s">
        <v>4518</v>
      </c>
      <c r="AM276" s="329"/>
      <c r="AN276" s="330"/>
      <c r="AO276" s="125">
        <f t="shared" si="39"/>
        <v>761199</v>
      </c>
      <c r="AP276" s="166">
        <f>0.7%+0.08%</f>
        <v>0.0078</v>
      </c>
      <c r="AQ276" s="283">
        <f t="shared" si="40"/>
        <v>0</v>
      </c>
      <c r="AR276" s="283"/>
      <c r="AS276" s="223"/>
      <c r="AT276" s="223"/>
      <c r="AU276" s="223"/>
      <c r="AV276" s="223"/>
      <c r="AW276" s="223"/>
      <c r="AX276" s="223"/>
      <c r="AY276" s="223"/>
      <c r="AZ276" s="223"/>
      <c r="BA276" s="300"/>
      <c r="BB276" s="223"/>
      <c r="BC276" s="300"/>
      <c r="BK276" s="125">
        <v>264199</v>
      </c>
      <c r="BL276" s="125">
        <v>497000</v>
      </c>
      <c r="CI276" s="125" t="s">
        <v>260</v>
      </c>
      <c r="CJ276" s="125" t="s">
        <v>271</v>
      </c>
      <c r="CK276" s="125" t="s">
        <v>261</v>
      </c>
    </row>
    <row r="277" s="125" customFormat="1" customHeight="1" spans="1:89">
      <c r="A277" s="125">
        <v>224</v>
      </c>
      <c r="C277" s="168">
        <v>45148</v>
      </c>
      <c r="D277" s="294" t="s">
        <v>4519</v>
      </c>
      <c r="F277" s="295" t="s">
        <v>4520</v>
      </c>
      <c r="G277" s="174" t="s">
        <v>4521</v>
      </c>
      <c r="H277" s="1038" t="s">
        <v>4522</v>
      </c>
      <c r="I277" s="284" t="s">
        <v>4523</v>
      </c>
      <c r="J277" s="125">
        <v>126.9</v>
      </c>
      <c r="K277" s="125">
        <v>126.9</v>
      </c>
      <c r="L277" s="125">
        <v>5949.38</v>
      </c>
      <c r="M277" s="282">
        <v>754976</v>
      </c>
      <c r="N277" s="223">
        <f>5999.38-50</f>
        <v>5949.38</v>
      </c>
      <c r="O277" s="165">
        <v>692638.53</v>
      </c>
      <c r="P277" s="294" t="s">
        <v>4524</v>
      </c>
      <c r="Q277" s="328">
        <v>45876</v>
      </c>
      <c r="R277" s="223"/>
      <c r="S277" s="224"/>
      <c r="T277" s="1038" t="s">
        <v>1629</v>
      </c>
      <c r="U277" s="224" t="s">
        <v>294</v>
      </c>
      <c r="V277" s="223">
        <v>10000</v>
      </c>
      <c r="W277" s="224" t="s">
        <v>2209</v>
      </c>
      <c r="X277" s="223">
        <f>10000+184976</f>
        <v>194976</v>
      </c>
      <c r="Y277" s="224" t="s">
        <v>917</v>
      </c>
      <c r="Z277" s="125">
        <v>550000</v>
      </c>
      <c r="AA277" s="125" t="s">
        <v>1500</v>
      </c>
      <c r="AB277" s="223"/>
      <c r="AH277" s="223">
        <f t="shared" si="38"/>
        <v>754976</v>
      </c>
      <c r="AK277" s="171">
        <f t="shared" si="42"/>
        <v>0</v>
      </c>
      <c r="AL277" s="295" t="s">
        <v>4525</v>
      </c>
      <c r="AM277" s="329"/>
      <c r="AN277" s="330"/>
      <c r="AO277" s="125">
        <f t="shared" si="39"/>
        <v>754976</v>
      </c>
      <c r="AP277" s="166">
        <f>0.4%+0.05%+0.14%</f>
        <v>0.0059</v>
      </c>
      <c r="AQ277" s="283">
        <f t="shared" si="40"/>
        <v>300</v>
      </c>
      <c r="AR277" s="283"/>
      <c r="AS277" s="223"/>
      <c r="AT277" s="223">
        <v>100</v>
      </c>
      <c r="AU277" s="223"/>
      <c r="AV277" s="223">
        <v>200</v>
      </c>
      <c r="AW277" s="223"/>
      <c r="AX277" s="223"/>
      <c r="AY277" s="223"/>
      <c r="AZ277" s="223">
        <v>204976</v>
      </c>
      <c r="BA277" s="300"/>
      <c r="BB277" s="223"/>
      <c r="BC277" s="300">
        <v>550000</v>
      </c>
      <c r="CI277" s="125" t="s">
        <v>260</v>
      </c>
      <c r="CJ277" s="125" t="s">
        <v>271</v>
      </c>
      <c r="CK277" s="125" t="s">
        <v>261</v>
      </c>
    </row>
    <row r="278" s="125" customFormat="1" customHeight="1" spans="1:89">
      <c r="A278" s="125">
        <v>225</v>
      </c>
      <c r="C278" s="168">
        <v>45202</v>
      </c>
      <c r="D278" s="294" t="s">
        <v>4526</v>
      </c>
      <c r="F278" s="295" t="s">
        <v>4527</v>
      </c>
      <c r="G278" s="174" t="s">
        <v>4528</v>
      </c>
      <c r="H278" s="1038" t="s">
        <v>4529</v>
      </c>
      <c r="I278" s="284" t="s">
        <v>4530</v>
      </c>
      <c r="J278" s="125">
        <v>126.5</v>
      </c>
      <c r="K278" s="125">
        <v>126.5</v>
      </c>
      <c r="L278" s="125">
        <v>6042.38</v>
      </c>
      <c r="M278" s="282">
        <v>764362</v>
      </c>
      <c r="N278" s="223">
        <v>6042.38</v>
      </c>
      <c r="O278" s="165">
        <v>701249.54</v>
      </c>
      <c r="P278" s="294" t="s">
        <v>4531</v>
      </c>
      <c r="Q278" s="328">
        <v>45876</v>
      </c>
      <c r="R278" s="223"/>
      <c r="S278" s="224"/>
      <c r="T278" s="174"/>
      <c r="U278" s="224" t="s">
        <v>370</v>
      </c>
      <c r="V278" s="223">
        <v>20000</v>
      </c>
      <c r="W278" s="224" t="s">
        <v>455</v>
      </c>
      <c r="X278" s="223">
        <v>44362</v>
      </c>
      <c r="Y278" s="224" t="s">
        <v>447</v>
      </c>
      <c r="Z278" s="125">
        <v>90000</v>
      </c>
      <c r="AA278" s="125" t="s">
        <v>680</v>
      </c>
      <c r="AB278" s="223">
        <v>610000</v>
      </c>
      <c r="AC278" s="125" t="s">
        <v>959</v>
      </c>
      <c r="AH278" s="223">
        <f t="shared" si="38"/>
        <v>764362</v>
      </c>
      <c r="AK278" s="171">
        <f t="shared" si="42"/>
        <v>0</v>
      </c>
      <c r="AL278" s="295" t="s">
        <v>4532</v>
      </c>
      <c r="AM278" s="329"/>
      <c r="AN278" s="330"/>
      <c r="AO278" s="125">
        <f t="shared" si="39"/>
        <v>764362</v>
      </c>
      <c r="AP278" s="166">
        <f>0.7%+0.05%+0.12%</f>
        <v>0.0087</v>
      </c>
      <c r="AQ278" s="283">
        <f t="shared" si="40"/>
        <v>200</v>
      </c>
      <c r="AR278" s="283"/>
      <c r="AS278" s="223"/>
      <c r="AT278" s="223"/>
      <c r="AU278" s="223"/>
      <c r="AV278" s="223"/>
      <c r="AW278" s="223"/>
      <c r="AX278" s="223">
        <v>200</v>
      </c>
      <c r="AY278" s="223"/>
      <c r="AZ278" s="223"/>
      <c r="BA278" s="300"/>
      <c r="BB278" s="223">
        <v>764362</v>
      </c>
      <c r="BC278" s="300"/>
      <c r="CI278" s="125" t="s">
        <v>260</v>
      </c>
      <c r="CJ278" s="125" t="s">
        <v>271</v>
      </c>
      <c r="CK278" s="125" t="s">
        <v>261</v>
      </c>
    </row>
    <row r="279" s="125" customFormat="1" customHeight="1" spans="1:89">
      <c r="A279" s="125">
        <v>226</v>
      </c>
      <c r="C279" s="168">
        <v>45516</v>
      </c>
      <c r="D279" s="294" t="s">
        <v>4533</v>
      </c>
      <c r="F279" s="295" t="s">
        <v>4534</v>
      </c>
      <c r="G279" s="174" t="s">
        <v>4535</v>
      </c>
      <c r="H279" s="1038" t="s">
        <v>4536</v>
      </c>
      <c r="I279" s="284" t="s">
        <v>4537</v>
      </c>
      <c r="J279" s="125">
        <v>126.9</v>
      </c>
      <c r="K279" s="125">
        <v>126.9</v>
      </c>
      <c r="L279" s="125">
        <v>5844.55</v>
      </c>
      <c r="M279" s="282">
        <v>741673</v>
      </c>
      <c r="N279" s="285">
        <v>5844.55</v>
      </c>
      <c r="O279" s="327">
        <v>680433.94</v>
      </c>
      <c r="P279" s="294" t="s">
        <v>4538</v>
      </c>
      <c r="Q279" s="328">
        <v>45876</v>
      </c>
      <c r="R279" s="223"/>
      <c r="S279" s="224"/>
      <c r="T279" s="174"/>
      <c r="U279" s="224" t="s">
        <v>370</v>
      </c>
      <c r="V279" s="223">
        <v>20000</v>
      </c>
      <c r="W279" s="224" t="s">
        <v>4539</v>
      </c>
      <c r="X279" s="223">
        <v>71673</v>
      </c>
      <c r="Y279" s="224" t="s">
        <v>4540</v>
      </c>
      <c r="Z279" s="223">
        <v>60000</v>
      </c>
      <c r="AA279" s="224">
        <v>45539</v>
      </c>
      <c r="AB279" s="223">
        <v>590000</v>
      </c>
      <c r="AC279" s="224" t="s">
        <v>4366</v>
      </c>
      <c r="AH279" s="223">
        <f t="shared" si="38"/>
        <v>741673</v>
      </c>
      <c r="AK279" s="171">
        <f t="shared" si="42"/>
        <v>0</v>
      </c>
      <c r="AL279" s="295" t="s">
        <v>4541</v>
      </c>
      <c r="AM279" s="329" t="s">
        <v>4542</v>
      </c>
      <c r="AN279" s="330"/>
      <c r="AO279" s="125">
        <f t="shared" si="39"/>
        <v>741673</v>
      </c>
      <c r="AP279" s="166">
        <f>0.7%+0.02%+0.08%</f>
        <v>0.008</v>
      </c>
      <c r="AQ279" s="283">
        <f t="shared" si="40"/>
        <v>0</v>
      </c>
      <c r="AR279" s="283"/>
      <c r="AS279" s="223"/>
      <c r="AT279" s="223"/>
      <c r="AU279" s="223"/>
      <c r="AV279" s="223"/>
      <c r="AW279" s="223"/>
      <c r="AX279" s="223"/>
      <c r="AY279" s="223"/>
      <c r="AZ279" s="223"/>
      <c r="BA279" s="300"/>
      <c r="BB279" s="223"/>
      <c r="BC279" s="300"/>
      <c r="BM279" s="125">
        <v>151673</v>
      </c>
      <c r="BO279" s="125">
        <v>590000</v>
      </c>
      <c r="CI279" s="125" t="s">
        <v>260</v>
      </c>
      <c r="CK279" s="125" t="s">
        <v>261</v>
      </c>
    </row>
    <row r="280" s="125" customFormat="1" customHeight="1" spans="1:89">
      <c r="A280" s="125">
        <v>227</v>
      </c>
      <c r="C280" s="168">
        <v>45509</v>
      </c>
      <c r="D280" s="294" t="s">
        <v>4543</v>
      </c>
      <c r="F280" s="295" t="s">
        <v>4544</v>
      </c>
      <c r="G280" s="174" t="s">
        <v>4545</v>
      </c>
      <c r="H280" s="1038" t="s">
        <v>4546</v>
      </c>
      <c r="I280" s="284" t="s">
        <v>4547</v>
      </c>
      <c r="J280" s="125">
        <v>126.5</v>
      </c>
      <c r="K280" s="125">
        <v>126.5</v>
      </c>
      <c r="L280" s="125">
        <v>5849.8</v>
      </c>
      <c r="M280" s="282">
        <v>740000</v>
      </c>
      <c r="N280" s="285">
        <v>5849.8</v>
      </c>
      <c r="O280" s="327">
        <v>678899</v>
      </c>
      <c r="P280" s="294" t="s">
        <v>4548</v>
      </c>
      <c r="Q280" s="328">
        <v>45876</v>
      </c>
      <c r="R280" s="223"/>
      <c r="S280" s="224"/>
      <c r="T280" s="174"/>
      <c r="U280" s="224" t="s">
        <v>257</v>
      </c>
      <c r="V280" s="223">
        <v>20000</v>
      </c>
      <c r="W280" s="224" t="s">
        <v>4549</v>
      </c>
      <c r="X280" s="223">
        <v>130000</v>
      </c>
      <c r="Y280" s="224" t="s">
        <v>3683</v>
      </c>
      <c r="Z280" s="223">
        <v>590000</v>
      </c>
      <c r="AA280" s="224">
        <v>45544</v>
      </c>
      <c r="AB280" s="223"/>
      <c r="AH280" s="223">
        <f t="shared" si="38"/>
        <v>740000</v>
      </c>
      <c r="AK280" s="171">
        <f t="shared" si="42"/>
        <v>0</v>
      </c>
      <c r="AL280" s="295" t="s">
        <v>4550</v>
      </c>
      <c r="AM280" s="329" t="s">
        <v>4542</v>
      </c>
      <c r="AN280" s="330"/>
      <c r="AO280" s="125">
        <f t="shared" si="39"/>
        <v>740000</v>
      </c>
      <c r="AP280" s="169">
        <f>0.7%+0.04%+0.08%</f>
        <v>0.0082</v>
      </c>
      <c r="AQ280" s="283">
        <f t="shared" si="40"/>
        <v>0</v>
      </c>
      <c r="AR280" s="283"/>
      <c r="AS280" s="223"/>
      <c r="AT280" s="223"/>
      <c r="AU280" s="223"/>
      <c r="AV280" s="223"/>
      <c r="AW280" s="223"/>
      <c r="AX280" s="223"/>
      <c r="AY280" s="223"/>
      <c r="AZ280" s="223"/>
      <c r="BA280" s="300"/>
      <c r="BB280" s="223"/>
      <c r="BC280" s="300"/>
      <c r="BL280" s="125">
        <v>150000</v>
      </c>
      <c r="BM280" s="125">
        <v>590000</v>
      </c>
      <c r="CI280" s="125" t="s">
        <v>260</v>
      </c>
      <c r="CK280" s="125" t="s">
        <v>261</v>
      </c>
    </row>
    <row r="281" s="125" customFormat="1" customHeight="1" spans="1:89">
      <c r="A281" s="125">
        <v>228</v>
      </c>
      <c r="B281" s="125"/>
      <c r="C281" s="168">
        <v>45647</v>
      </c>
      <c r="D281" s="294" t="s">
        <v>4551</v>
      </c>
      <c r="F281" s="295" t="s">
        <v>4552</v>
      </c>
      <c r="G281" s="174" t="s">
        <v>4553</v>
      </c>
      <c r="H281" s="1038" t="s">
        <v>4554</v>
      </c>
      <c r="I281" s="284" t="s">
        <v>4555</v>
      </c>
      <c r="J281" s="125">
        <v>126.9</v>
      </c>
      <c r="K281" s="125">
        <v>126.9</v>
      </c>
      <c r="L281" s="125">
        <v>6067.77</v>
      </c>
      <c r="M281" s="282">
        <v>770000</v>
      </c>
      <c r="N281" s="223">
        <v>6044.38</v>
      </c>
      <c r="O281" s="327">
        <v>706422.02</v>
      </c>
      <c r="P281" s="294" t="s">
        <v>4556</v>
      </c>
      <c r="Q281" s="328">
        <v>45876</v>
      </c>
      <c r="R281" s="223"/>
      <c r="S281" s="224"/>
      <c r="T281" s="174"/>
      <c r="U281" s="224" t="s">
        <v>277</v>
      </c>
      <c r="V281" s="223">
        <v>20000</v>
      </c>
      <c r="W281" s="224" t="s">
        <v>3281</v>
      </c>
      <c r="X281" s="223">
        <v>99000</v>
      </c>
      <c r="Y281" s="168" t="s">
        <v>4557</v>
      </c>
      <c r="Z281" s="223">
        <v>35000</v>
      </c>
      <c r="AA281" s="224" t="s">
        <v>3296</v>
      </c>
      <c r="AB281" s="223">
        <v>616000</v>
      </c>
      <c r="AC281" s="125" t="s">
        <v>4113</v>
      </c>
      <c r="AH281" s="223">
        <f t="shared" si="38"/>
        <v>770000</v>
      </c>
      <c r="AK281" s="171">
        <f t="shared" si="42"/>
        <v>0</v>
      </c>
      <c r="AL281" s="295" t="s">
        <v>4558</v>
      </c>
      <c r="AM281" s="329" t="s">
        <v>4559</v>
      </c>
      <c r="AN281" s="330"/>
      <c r="AO281" s="125">
        <f t="shared" si="39"/>
        <v>770000</v>
      </c>
      <c r="AP281" s="169">
        <f>0.6%+0.04%+0.12%+0.03%</f>
        <v>0.0079</v>
      </c>
      <c r="AQ281" s="283">
        <f t="shared" si="40"/>
        <v>0</v>
      </c>
      <c r="AR281" s="283"/>
      <c r="AS281" s="223"/>
      <c r="AT281" s="223"/>
      <c r="AU281" s="223"/>
      <c r="AV281" s="223"/>
      <c r="AW281" s="223"/>
      <c r="AX281" s="223"/>
      <c r="AY281" s="223"/>
      <c r="AZ281" s="223"/>
      <c r="BB281" s="223"/>
      <c r="BP281" s="125">
        <v>119000</v>
      </c>
      <c r="BQ281" s="125">
        <v>651000</v>
      </c>
      <c r="CI281" s="125" t="s">
        <v>260</v>
      </c>
      <c r="CK281" s="125" t="s">
        <v>261</v>
      </c>
    </row>
    <row r="282" s="101" customFormat="1" customHeight="1" spans="1:89">
      <c r="A282" s="101">
        <v>229</v>
      </c>
      <c r="D282" s="332"/>
      <c r="F282" s="318"/>
      <c r="G282" s="238"/>
      <c r="H282" s="238"/>
      <c r="I282" s="278" t="s">
        <v>4560</v>
      </c>
      <c r="J282" s="323">
        <v>126.5</v>
      </c>
      <c r="M282" s="239"/>
      <c r="N282" s="242">
        <v>7064</v>
      </c>
      <c r="O282" s="333"/>
      <c r="P282" s="332"/>
      <c r="Q282" s="334"/>
      <c r="R282" s="242"/>
      <c r="S282" s="243"/>
      <c r="T282" s="238"/>
      <c r="U282" s="243"/>
      <c r="V282" s="242"/>
      <c r="W282" s="316"/>
      <c r="X282" s="242"/>
      <c r="Y282" s="316"/>
      <c r="AB282" s="242"/>
      <c r="AH282" s="242">
        <f t="shared" si="38"/>
        <v>0</v>
      </c>
      <c r="AK282" s="205"/>
      <c r="AL282" s="318"/>
      <c r="AM282" s="319"/>
      <c r="AN282" s="335"/>
      <c r="AO282" s="101">
        <f t="shared" si="39"/>
        <v>0</v>
      </c>
      <c r="AP282" s="158"/>
      <c r="AQ282" s="277">
        <f t="shared" si="40"/>
        <v>0</v>
      </c>
      <c r="AR282" s="277"/>
      <c r="AS282" s="242"/>
      <c r="AT282" s="242"/>
      <c r="AU282" s="242"/>
      <c r="AV282" s="242"/>
      <c r="AW282" s="242"/>
      <c r="AX282" s="242"/>
      <c r="AY282" s="242"/>
      <c r="AZ282" s="242"/>
      <c r="BA282" s="299"/>
      <c r="BB282" s="242"/>
      <c r="BC282" s="299"/>
    </row>
    <row r="283" s="125" customFormat="1" customHeight="1" spans="1:89">
      <c r="A283" s="125">
        <v>230</v>
      </c>
      <c r="C283" s="168">
        <v>45342</v>
      </c>
      <c r="D283" s="294" t="s">
        <v>4561</v>
      </c>
      <c r="F283" s="295" t="s">
        <v>4562</v>
      </c>
      <c r="G283" s="174" t="s">
        <v>4563</v>
      </c>
      <c r="H283" s="1038" t="s">
        <v>4564</v>
      </c>
      <c r="I283" s="284" t="s">
        <v>4565</v>
      </c>
      <c r="J283" s="125">
        <v>126.9</v>
      </c>
      <c r="K283" s="125">
        <v>126.9</v>
      </c>
      <c r="L283" s="125">
        <v>7100</v>
      </c>
      <c r="M283" s="282">
        <v>900990</v>
      </c>
      <c r="N283" s="223">
        <v>7054</v>
      </c>
      <c r="O283" s="165">
        <v>826596.33</v>
      </c>
      <c r="P283" s="294" t="s">
        <v>4566</v>
      </c>
      <c r="Q283" s="328">
        <v>45877</v>
      </c>
      <c r="R283" s="223"/>
      <c r="S283" s="224"/>
      <c r="T283" s="174"/>
      <c r="U283" s="224" t="s">
        <v>561</v>
      </c>
      <c r="V283" s="223">
        <v>250000</v>
      </c>
      <c r="W283" s="224" t="s">
        <v>4567</v>
      </c>
      <c r="X283" s="223">
        <v>10990</v>
      </c>
      <c r="Y283" s="168" t="s">
        <v>911</v>
      </c>
      <c r="Z283" s="125">
        <v>440000</v>
      </c>
      <c r="AA283" s="125" t="s">
        <v>4568</v>
      </c>
      <c r="AB283" s="223">
        <v>200000</v>
      </c>
      <c r="AC283" s="224" t="s">
        <v>4089</v>
      </c>
      <c r="AH283" s="223">
        <f t="shared" si="38"/>
        <v>900990</v>
      </c>
      <c r="AK283" s="171">
        <f>M283-AH283</f>
        <v>0</v>
      </c>
      <c r="AL283" s="295" t="s">
        <v>4569</v>
      </c>
      <c r="AM283" s="329"/>
      <c r="AN283" s="330"/>
      <c r="AO283" s="125">
        <f t="shared" si="39"/>
        <v>900990</v>
      </c>
      <c r="AP283" s="169">
        <f>0.7%+0.05%+0.14%</f>
        <v>0.0089</v>
      </c>
      <c r="AQ283" s="283">
        <f t="shared" si="40"/>
        <v>0</v>
      </c>
      <c r="AR283" s="283"/>
      <c r="AS283" s="223"/>
      <c r="AT283" s="223"/>
      <c r="AU283" s="223"/>
      <c r="AV283" s="223"/>
      <c r="AW283" s="223"/>
      <c r="AX283" s="223"/>
      <c r="AY283" s="223"/>
      <c r="AZ283" s="223"/>
      <c r="BA283" s="300"/>
      <c r="BB283" s="223"/>
      <c r="BC283" s="300"/>
      <c r="BF283" s="125">
        <v>700990</v>
      </c>
      <c r="BG283" s="125">
        <v>200000</v>
      </c>
      <c r="CI283" s="125" t="s">
        <v>260</v>
      </c>
      <c r="CJ283" s="125" t="s">
        <v>271</v>
      </c>
      <c r="CK283" s="125" t="s">
        <v>261</v>
      </c>
    </row>
    <row r="284" s="101" customFormat="1" customHeight="1" spans="1:89">
      <c r="A284" s="101">
        <v>231</v>
      </c>
      <c r="D284" s="332"/>
      <c r="F284" s="318" t="s">
        <v>4570</v>
      </c>
      <c r="G284" s="238"/>
      <c r="H284" s="238"/>
      <c r="I284" s="278" t="s">
        <v>4571</v>
      </c>
      <c r="J284" s="323">
        <v>109.5</v>
      </c>
      <c r="M284" s="239"/>
      <c r="N284" s="242">
        <v>8634</v>
      </c>
      <c r="O284" s="333"/>
      <c r="P284" s="332"/>
      <c r="Q284" s="334"/>
      <c r="R284" s="242"/>
      <c r="S284" s="243"/>
      <c r="T284" s="238"/>
      <c r="U284" s="243"/>
      <c r="V284" s="242"/>
      <c r="W284" s="316"/>
      <c r="X284" s="242"/>
      <c r="Y284" s="316"/>
      <c r="AB284" s="242"/>
      <c r="AH284" s="242">
        <f t="shared" si="38"/>
        <v>0</v>
      </c>
      <c r="AK284" s="205"/>
      <c r="AL284" s="318"/>
      <c r="AM284" s="319"/>
      <c r="AN284" s="335"/>
      <c r="AO284" s="101">
        <f t="shared" si="39"/>
        <v>0</v>
      </c>
      <c r="AP284" s="158"/>
      <c r="AQ284" s="277">
        <f t="shared" si="40"/>
        <v>0</v>
      </c>
      <c r="AR284" s="277"/>
      <c r="AS284" s="242"/>
      <c r="AT284" s="242"/>
      <c r="AU284" s="242"/>
      <c r="AV284" s="242"/>
      <c r="AW284" s="242"/>
      <c r="AX284" s="242"/>
      <c r="AY284" s="242"/>
      <c r="AZ284" s="242"/>
      <c r="BA284" s="299"/>
      <c r="BB284" s="242"/>
      <c r="BC284" s="299"/>
    </row>
    <row r="285" s="125" customFormat="1" customHeight="1" spans="1:89">
      <c r="A285" s="125">
        <v>232</v>
      </c>
      <c r="B285" s="125"/>
      <c r="C285" s="168">
        <v>45680</v>
      </c>
      <c r="D285" s="294" t="s">
        <v>4572</v>
      </c>
      <c r="F285" s="295" t="s">
        <v>4573</v>
      </c>
      <c r="G285" s="174" t="s">
        <v>4574</v>
      </c>
      <c r="H285" s="1038" t="s">
        <v>4575</v>
      </c>
      <c r="I285" s="284" t="s">
        <v>4576</v>
      </c>
      <c r="J285" s="125">
        <v>128.46</v>
      </c>
      <c r="K285" s="125">
        <v>128.46</v>
      </c>
      <c r="L285" s="171">
        <v>8495.354</v>
      </c>
      <c r="M285" s="282">
        <v>1091313</v>
      </c>
      <c r="N285" s="223">
        <v>8444</v>
      </c>
      <c r="O285" s="327">
        <v>1001204.59</v>
      </c>
      <c r="P285" s="294" t="s">
        <v>4577</v>
      </c>
      <c r="Q285" s="328">
        <v>45877</v>
      </c>
      <c r="R285" s="223"/>
      <c r="S285" s="224"/>
      <c r="T285" s="174"/>
      <c r="U285" s="224" t="s">
        <v>277</v>
      </c>
      <c r="V285" s="223">
        <v>20000</v>
      </c>
      <c r="W285" s="224" t="s">
        <v>497</v>
      </c>
      <c r="X285" s="223">
        <v>380000</v>
      </c>
      <c r="Y285" s="224" t="s">
        <v>259</v>
      </c>
      <c r="Z285" s="223">
        <v>100000</v>
      </c>
      <c r="AA285" s="224" t="s">
        <v>2126</v>
      </c>
      <c r="AB285" s="223">
        <v>100000</v>
      </c>
      <c r="AC285" s="224" t="s">
        <v>4578</v>
      </c>
      <c r="AD285" s="125">
        <f>55100+20000+224900</f>
        <v>300000</v>
      </c>
      <c r="AE285" s="125" t="s">
        <v>4579</v>
      </c>
      <c r="AF285" s="223">
        <f>140000+30000+18000+3313</f>
        <v>191313</v>
      </c>
      <c r="AG285" s="224" t="s">
        <v>507</v>
      </c>
      <c r="AH285" s="223">
        <f t="shared" si="38"/>
        <v>1091313</v>
      </c>
      <c r="AK285" s="171">
        <f>M285-AH285</f>
        <v>0</v>
      </c>
      <c r="AL285" s="295" t="s">
        <v>4580</v>
      </c>
      <c r="AM285" s="329" t="s">
        <v>4581</v>
      </c>
      <c r="AN285" s="330"/>
      <c r="AO285" s="125">
        <f t="shared" si="39"/>
        <v>1088000</v>
      </c>
      <c r="AP285" s="166">
        <f>0.4%+0.02%+0.08%+0.03%</f>
        <v>0.0053</v>
      </c>
      <c r="AQ285" s="283">
        <f t="shared" si="40"/>
        <v>0</v>
      </c>
      <c r="AR285" s="283"/>
      <c r="AS285" s="223"/>
      <c r="AT285" s="223"/>
      <c r="AU285" s="223"/>
      <c r="AV285" s="223"/>
      <c r="AW285" s="223"/>
      <c r="AX285" s="223"/>
      <c r="AY285" s="223"/>
      <c r="AZ285" s="223"/>
      <c r="BA285" s="300"/>
      <c r="BB285" s="223"/>
      <c r="BC285" s="300"/>
      <c r="BR285" s="125">
        <v>1088000</v>
      </c>
      <c r="CI285" s="125" t="s">
        <v>260</v>
      </c>
      <c r="CK285" s="125" t="s">
        <v>261</v>
      </c>
    </row>
    <row r="286" s="125" customFormat="1" customHeight="1" spans="1:89">
      <c r="A286" s="125">
        <v>233</v>
      </c>
      <c r="B286" s="125"/>
      <c r="C286" s="168">
        <v>45778</v>
      </c>
      <c r="D286" s="294" t="s">
        <v>4582</v>
      </c>
      <c r="F286" s="295" t="s">
        <v>4583</v>
      </c>
      <c r="G286" s="174" t="s">
        <v>4584</v>
      </c>
      <c r="H286" s="174"/>
      <c r="I286" s="284" t="s">
        <v>4585</v>
      </c>
      <c r="J286" s="125">
        <v>126.5</v>
      </c>
      <c r="K286" s="125">
        <v>126.5</v>
      </c>
      <c r="L286" s="174">
        <v>5451.1</v>
      </c>
      <c r="M286" s="282">
        <v>689564</v>
      </c>
      <c r="N286" s="223">
        <v>5451.1</v>
      </c>
      <c r="O286" s="327">
        <v>632627.52</v>
      </c>
      <c r="P286" s="294" t="s">
        <v>4586</v>
      </c>
      <c r="Q286" s="328">
        <v>45811</v>
      </c>
      <c r="R286" s="223"/>
      <c r="S286" s="224"/>
      <c r="T286" s="174"/>
      <c r="U286" s="224" t="s">
        <v>267</v>
      </c>
      <c r="V286" s="223">
        <f>75000+64564</f>
        <v>139564</v>
      </c>
      <c r="W286" s="224" t="s">
        <v>3563</v>
      </c>
      <c r="X286" s="223">
        <v>550000</v>
      </c>
      <c r="Y286" s="224" t="s">
        <v>3564</v>
      </c>
      <c r="AB286" s="223"/>
      <c r="AH286" s="223">
        <f t="shared" si="38"/>
        <v>689564</v>
      </c>
      <c r="AK286" s="171">
        <f>M286-AH286</f>
        <v>0</v>
      </c>
      <c r="AL286" s="295" t="s">
        <v>4587</v>
      </c>
      <c r="AM286" s="329" t="s">
        <v>3362</v>
      </c>
      <c r="AN286" s="330"/>
      <c r="AO286" s="125">
        <f t="shared" si="39"/>
        <v>689564</v>
      </c>
      <c r="AP286" s="166">
        <f>0.7%+0.08%+0.03%</f>
        <v>0.0081</v>
      </c>
      <c r="AQ286" s="283">
        <f t="shared" si="40"/>
        <v>0</v>
      </c>
      <c r="AR286" s="283"/>
      <c r="AS286" s="223"/>
      <c r="AT286" s="223"/>
      <c r="AU286" s="223"/>
      <c r="AV286" s="223"/>
      <c r="AW286" s="223"/>
      <c r="AX286" s="223"/>
      <c r="AY286" s="223"/>
      <c r="AZ286" s="223"/>
      <c r="BA286" s="300"/>
      <c r="BB286" s="223"/>
      <c r="BC286" s="300"/>
      <c r="BU286" s="125">
        <v>139564</v>
      </c>
      <c r="BV286" s="125">
        <v>550000</v>
      </c>
      <c r="CI286" s="125" t="s">
        <v>260</v>
      </c>
      <c r="CK286" s="125" t="s">
        <v>261</v>
      </c>
    </row>
    <row r="287" s="101" customFormat="1" customHeight="1" spans="1:89">
      <c r="A287" s="101">
        <v>234</v>
      </c>
      <c r="D287" s="332"/>
      <c r="F287" s="318" t="s">
        <v>4588</v>
      </c>
      <c r="G287" s="238"/>
      <c r="H287" s="238"/>
      <c r="I287" s="278" t="s">
        <v>4589</v>
      </c>
      <c r="J287" s="323">
        <v>126.5</v>
      </c>
      <c r="M287" s="239"/>
      <c r="N287" s="242">
        <v>5744.1</v>
      </c>
      <c r="O287" s="333"/>
      <c r="P287" s="332"/>
      <c r="Q287" s="334"/>
      <c r="R287" s="242"/>
      <c r="S287" s="243"/>
      <c r="T287" s="238"/>
      <c r="U287" s="243"/>
      <c r="V287" s="242"/>
      <c r="W287" s="316"/>
      <c r="X287" s="242"/>
      <c r="Y287" s="316"/>
      <c r="AB287" s="242"/>
      <c r="AH287" s="242">
        <f t="shared" si="38"/>
        <v>0</v>
      </c>
      <c r="AK287" s="205"/>
      <c r="AL287" s="318"/>
      <c r="AM287" s="319"/>
      <c r="AN287" s="335"/>
      <c r="AO287" s="101">
        <f t="shared" si="39"/>
        <v>0</v>
      </c>
      <c r="AP287" s="158"/>
      <c r="AQ287" s="277">
        <f t="shared" si="40"/>
        <v>0</v>
      </c>
      <c r="AR287" s="277"/>
      <c r="AS287" s="242"/>
      <c r="AT287" s="242"/>
      <c r="AU287" s="242"/>
      <c r="AV287" s="242"/>
      <c r="AW287" s="242"/>
      <c r="AX287" s="242"/>
      <c r="AY287" s="242"/>
      <c r="AZ287" s="242"/>
      <c r="BA287" s="299"/>
      <c r="BB287" s="242"/>
      <c r="BC287" s="299"/>
    </row>
    <row r="288" s="125" customFormat="1" customHeight="1" spans="1:89">
      <c r="A288" s="125">
        <v>235</v>
      </c>
      <c r="C288" s="168">
        <v>45417</v>
      </c>
      <c r="D288" s="294" t="s">
        <v>4590</v>
      </c>
      <c r="F288" s="295" t="s">
        <v>4591</v>
      </c>
      <c r="G288" s="292" t="s">
        <v>4592</v>
      </c>
      <c r="H288" s="174"/>
      <c r="I288" s="284" t="s">
        <v>4593</v>
      </c>
      <c r="J288" s="125">
        <v>126.5</v>
      </c>
      <c r="K288" s="125">
        <v>126.5</v>
      </c>
      <c r="L288" s="125">
        <v>5849.8</v>
      </c>
      <c r="M288" s="282">
        <v>740000</v>
      </c>
      <c r="N288" s="223">
        <v>5801.38</v>
      </c>
      <c r="O288" s="327">
        <v>678899.08</v>
      </c>
      <c r="P288" s="294" t="s">
        <v>4594</v>
      </c>
      <c r="Q288" s="328">
        <v>45877</v>
      </c>
      <c r="R288" s="223"/>
      <c r="S288" s="224"/>
      <c r="T288" s="174"/>
      <c r="U288" s="224" t="s">
        <v>267</v>
      </c>
      <c r="V288" s="223"/>
      <c r="W288" s="224"/>
      <c r="X288" s="223">
        <v>17000</v>
      </c>
      <c r="Y288" s="224" t="s">
        <v>965</v>
      </c>
      <c r="Z288" s="125">
        <v>205000</v>
      </c>
      <c r="AA288" s="125" t="s">
        <v>965</v>
      </c>
      <c r="AB288" s="223">
        <v>518000</v>
      </c>
      <c r="AC288" s="224" t="s">
        <v>427</v>
      </c>
      <c r="AH288" s="223">
        <f t="shared" si="38"/>
        <v>740000</v>
      </c>
      <c r="AK288" s="171">
        <f>M288-AH288</f>
        <v>0</v>
      </c>
      <c r="AL288" s="295" t="s">
        <v>4595</v>
      </c>
      <c r="AM288" s="329"/>
      <c r="AN288" s="330"/>
      <c r="AO288" s="125">
        <f t="shared" si="39"/>
        <v>740000</v>
      </c>
      <c r="AP288" s="166">
        <f>0.4%+0.03%+0.08%</f>
        <v>0.0051</v>
      </c>
      <c r="AQ288" s="283">
        <f t="shared" si="40"/>
        <v>0</v>
      </c>
      <c r="AR288" s="283"/>
      <c r="AS288" s="223"/>
      <c r="AT288" s="223"/>
      <c r="AU288" s="223"/>
      <c r="AV288" s="223"/>
      <c r="AW288" s="223"/>
      <c r="AX288" s="223"/>
      <c r="AY288" s="223"/>
      <c r="AZ288" s="223"/>
      <c r="BA288" s="300"/>
      <c r="BB288" s="223"/>
      <c r="BC288" s="300"/>
      <c r="BI288" s="125">
        <v>222000</v>
      </c>
      <c r="BJ288" s="125">
        <v>518000</v>
      </c>
      <c r="CI288" s="125" t="s">
        <v>260</v>
      </c>
      <c r="CJ288" s="125" t="s">
        <v>271</v>
      </c>
      <c r="CK288" s="125" t="s">
        <v>261</v>
      </c>
    </row>
    <row r="289" s="125" customFormat="1" customHeight="1" spans="1:92">
      <c r="A289" s="125">
        <v>236</v>
      </c>
      <c r="C289" s="168">
        <v>45283</v>
      </c>
      <c r="D289" s="294" t="s">
        <v>4596</v>
      </c>
      <c r="F289" s="295" t="s">
        <v>4597</v>
      </c>
      <c r="G289" s="174" t="s">
        <v>4598</v>
      </c>
      <c r="H289" s="1038" t="s">
        <v>4599</v>
      </c>
      <c r="I289" s="284" t="s">
        <v>4600</v>
      </c>
      <c r="J289" s="125">
        <v>126.5</v>
      </c>
      <c r="K289" s="125">
        <v>126.5</v>
      </c>
      <c r="L289" s="125">
        <v>5800</v>
      </c>
      <c r="M289" s="282">
        <v>733700</v>
      </c>
      <c r="N289" s="223">
        <v>5794.38</v>
      </c>
      <c r="O289" s="165">
        <v>673119.27</v>
      </c>
      <c r="P289" s="294" t="s">
        <v>4601</v>
      </c>
      <c r="Q289" s="328">
        <v>45877</v>
      </c>
      <c r="R289" s="223"/>
      <c r="S289" s="224"/>
      <c r="T289" s="174"/>
      <c r="U289" s="224" t="s">
        <v>546</v>
      </c>
      <c r="V289" s="223">
        <v>20000</v>
      </c>
      <c r="W289" s="224" t="s">
        <v>4460</v>
      </c>
      <c r="X289" s="223">
        <v>133700</v>
      </c>
      <c r="Y289" s="224" t="s">
        <v>286</v>
      </c>
      <c r="Z289" s="223">
        <v>580000</v>
      </c>
      <c r="AA289" s="224" t="s">
        <v>1539</v>
      </c>
      <c r="AB289" s="223"/>
      <c r="AH289" s="223">
        <f t="shared" si="38"/>
        <v>733700</v>
      </c>
      <c r="AK289" s="171">
        <f>M289-AH289</f>
        <v>0</v>
      </c>
      <c r="AL289" s="295"/>
      <c r="AM289" s="329"/>
      <c r="AN289" s="330"/>
      <c r="AO289" s="125">
        <f t="shared" si="39"/>
        <v>733700</v>
      </c>
      <c r="AP289" s="166">
        <f>0.4%+0.08%</f>
        <v>0.0048</v>
      </c>
      <c r="AQ289" s="283">
        <f t="shared" si="40"/>
        <v>0</v>
      </c>
      <c r="AR289" s="283"/>
      <c r="AS289" s="223"/>
      <c r="AT289" s="223"/>
      <c r="AU289" s="223"/>
      <c r="AV289" s="223"/>
      <c r="AW289" s="223"/>
      <c r="AX289" s="223"/>
      <c r="AY289" s="223"/>
      <c r="AZ289" s="223"/>
      <c r="BA289" s="300"/>
      <c r="BB289" s="223"/>
      <c r="BC289" s="300"/>
      <c r="BD289" s="125">
        <v>153700</v>
      </c>
      <c r="BE289" s="125">
        <v>580000</v>
      </c>
      <c r="CI289" s="125" t="s">
        <v>260</v>
      </c>
      <c r="CJ289" s="125" t="s">
        <v>271</v>
      </c>
      <c r="CK289" s="125" t="s">
        <v>261</v>
      </c>
    </row>
    <row r="290" s="125" customFormat="1" customHeight="1" spans="1:92">
      <c r="A290" s="125">
        <v>237</v>
      </c>
      <c r="C290" s="168">
        <v>45204</v>
      </c>
      <c r="D290" s="294" t="s">
        <v>4602</v>
      </c>
      <c r="F290" s="295" t="s">
        <v>4603</v>
      </c>
      <c r="G290" s="174" t="s">
        <v>4604</v>
      </c>
      <c r="H290" s="174"/>
      <c r="I290" s="284" t="s">
        <v>4605</v>
      </c>
      <c r="J290" s="125">
        <v>126.5</v>
      </c>
      <c r="K290" s="125">
        <v>126.5</v>
      </c>
      <c r="L290" s="125">
        <v>5831.38</v>
      </c>
      <c r="M290" s="282">
        <v>737670</v>
      </c>
      <c r="N290" s="223">
        <v>5831.38</v>
      </c>
      <c r="O290" s="165">
        <v>676761.47</v>
      </c>
      <c r="P290" s="294" t="s">
        <v>4606</v>
      </c>
      <c r="Q290" s="328">
        <v>45877</v>
      </c>
      <c r="R290" s="223"/>
      <c r="S290" s="224"/>
      <c r="T290" s="174"/>
      <c r="U290" s="224" t="s">
        <v>561</v>
      </c>
      <c r="V290" s="223">
        <v>147670</v>
      </c>
      <c r="W290" s="224" t="s">
        <v>471</v>
      </c>
      <c r="X290" s="223">
        <v>590000</v>
      </c>
      <c r="Y290" s="224" t="s">
        <v>4607</v>
      </c>
      <c r="AB290" s="223"/>
      <c r="AH290" s="223">
        <f t="shared" si="38"/>
        <v>737670</v>
      </c>
      <c r="AK290" s="171">
        <f>M290-AH290</f>
        <v>0</v>
      </c>
      <c r="AL290" s="295"/>
      <c r="AM290" s="329"/>
      <c r="AN290" s="330"/>
      <c r="AO290" s="125">
        <f t="shared" si="39"/>
        <v>737670</v>
      </c>
      <c r="AP290" s="166">
        <f>0.4%+0.02%+0.08%</f>
        <v>0.005</v>
      </c>
      <c r="AQ290" s="283">
        <f t="shared" si="40"/>
        <v>0</v>
      </c>
      <c r="AR290" s="283"/>
      <c r="AS290" s="223"/>
      <c r="AT290" s="223"/>
      <c r="AU290" s="223"/>
      <c r="AV290" s="223"/>
      <c r="AW290" s="223"/>
      <c r="AX290" s="223"/>
      <c r="AY290" s="223"/>
      <c r="AZ290" s="223"/>
      <c r="BB290" s="223">
        <v>147670</v>
      </c>
      <c r="BE290" s="125">
        <v>590000</v>
      </c>
      <c r="CI290" s="125" t="s">
        <v>260</v>
      </c>
      <c r="CJ290" s="125" t="s">
        <v>271</v>
      </c>
      <c r="CK290" s="125" t="s">
        <v>261</v>
      </c>
    </row>
    <row r="291" s="125" customFormat="1" customHeight="1" spans="1:92">
      <c r="A291" s="125">
        <v>238</v>
      </c>
      <c r="C291" s="168">
        <v>45260</v>
      </c>
      <c r="D291" s="294" t="s">
        <v>4608</v>
      </c>
      <c r="F291" s="295" t="s">
        <v>4609</v>
      </c>
      <c r="G291" s="174" t="s">
        <v>4610</v>
      </c>
      <c r="H291" s="1038" t="s">
        <v>4611</v>
      </c>
      <c r="I291" s="284" t="s">
        <v>4612</v>
      </c>
      <c r="J291" s="125">
        <v>126.5</v>
      </c>
      <c r="K291" s="125">
        <v>126.5</v>
      </c>
      <c r="L291" s="125">
        <v>5833.99</v>
      </c>
      <c r="M291" s="325">
        <v>738000</v>
      </c>
      <c r="N291" s="326">
        <v>5824.38</v>
      </c>
      <c r="O291" s="165">
        <v>677064.22</v>
      </c>
      <c r="P291" s="294" t="s">
        <v>4613</v>
      </c>
      <c r="Q291" s="328">
        <v>45877</v>
      </c>
      <c r="R291" s="223"/>
      <c r="S291" s="224"/>
      <c r="T291" s="174"/>
      <c r="U291" s="224" t="s">
        <v>561</v>
      </c>
      <c r="V291" s="223">
        <v>20000</v>
      </c>
      <c r="W291" s="224" t="s">
        <v>4614</v>
      </c>
      <c r="X291" s="223">
        <v>30000</v>
      </c>
      <c r="Y291" s="336" t="s">
        <v>2291</v>
      </c>
      <c r="Z291" s="223">
        <v>98000</v>
      </c>
      <c r="AA291" s="224" t="s">
        <v>355</v>
      </c>
      <c r="AB291" s="223">
        <v>590000</v>
      </c>
      <c r="AC291" s="224" t="s">
        <v>624</v>
      </c>
      <c r="AH291" s="223">
        <f t="shared" si="38"/>
        <v>738000</v>
      </c>
      <c r="AK291" s="171">
        <f>M291-AH291</f>
        <v>0</v>
      </c>
      <c r="AL291" s="295" t="s">
        <v>4615</v>
      </c>
      <c r="AM291" s="329"/>
      <c r="AN291" s="330"/>
      <c r="AO291" s="125">
        <f t="shared" si="39"/>
        <v>738000</v>
      </c>
      <c r="AP291" s="166">
        <f>0.5%+0.02%+0.08%</f>
        <v>0.006</v>
      </c>
      <c r="AQ291" s="283">
        <f t="shared" si="40"/>
        <v>0</v>
      </c>
      <c r="AR291" s="283"/>
      <c r="AS291" s="223"/>
      <c r="AT291" s="223"/>
      <c r="AU291" s="223"/>
      <c r="AV291" s="223"/>
      <c r="AW291" s="223"/>
      <c r="AX291" s="223"/>
      <c r="AY291" s="223"/>
      <c r="AZ291" s="223"/>
      <c r="BA291" s="300"/>
      <c r="BB291" s="223"/>
      <c r="BC291" s="300"/>
      <c r="BD291" s="125">
        <v>148000</v>
      </c>
      <c r="BE291" s="125">
        <v>590000</v>
      </c>
      <c r="CI291" s="125" t="s">
        <v>260</v>
      </c>
      <c r="CJ291" s="125" t="s">
        <v>271</v>
      </c>
      <c r="CK291" s="125" t="s">
        <v>261</v>
      </c>
    </row>
    <row r="292" s="125" customFormat="1" customHeight="1" spans="1:92">
      <c r="A292" s="125">
        <v>239</v>
      </c>
      <c r="C292" s="168">
        <v>45198</v>
      </c>
      <c r="D292" s="125">
        <v>20230008282</v>
      </c>
      <c r="E292" s="294"/>
      <c r="F292" s="295" t="s">
        <v>4616</v>
      </c>
      <c r="G292" s="292" t="s">
        <v>4617</v>
      </c>
      <c r="H292" s="1039" t="s">
        <v>4618</v>
      </c>
      <c r="I292" s="284" t="s">
        <v>4619</v>
      </c>
      <c r="J292" s="125">
        <v>126.5</v>
      </c>
      <c r="K292" s="125">
        <v>126.5</v>
      </c>
      <c r="L292" s="125">
        <v>5851.38</v>
      </c>
      <c r="M292" s="325">
        <v>740201</v>
      </c>
      <c r="N292" s="326">
        <f>5901.38-50</f>
        <v>5851.38</v>
      </c>
      <c r="O292" s="165">
        <v>679083.49</v>
      </c>
      <c r="P292" s="294" t="s">
        <v>4620</v>
      </c>
      <c r="Q292" s="328">
        <v>45877</v>
      </c>
      <c r="R292" s="223"/>
      <c r="S292" s="286"/>
      <c r="T292" s="1039" t="s">
        <v>1256</v>
      </c>
      <c r="U292" s="286" t="s">
        <v>370</v>
      </c>
      <c r="V292" s="223">
        <v>10000</v>
      </c>
      <c r="W292" s="286" t="s">
        <v>846</v>
      </c>
      <c r="X292" s="223">
        <v>10000</v>
      </c>
      <c r="Y292" s="286" t="s">
        <v>4621</v>
      </c>
      <c r="Z292" s="223">
        <v>130201</v>
      </c>
      <c r="AA292" s="286" t="s">
        <v>455</v>
      </c>
      <c r="AB292" s="223">
        <v>590000</v>
      </c>
      <c r="AC292" s="286" t="s">
        <v>3864</v>
      </c>
      <c r="AD292" s="168"/>
      <c r="AE292" s="168"/>
      <c r="AF292" s="168"/>
      <c r="AG292" s="168"/>
      <c r="AH292" s="223">
        <f t="shared" si="38"/>
        <v>740201</v>
      </c>
      <c r="AK292" s="171">
        <f t="shared" ref="AK292:AK301" si="43">M292-AH292</f>
        <v>0</v>
      </c>
      <c r="AL292" s="295" t="s">
        <v>4622</v>
      </c>
      <c r="AM292" s="329"/>
      <c r="AN292" s="330"/>
      <c r="AO292" s="125">
        <f t="shared" si="39"/>
        <v>740201</v>
      </c>
      <c r="AP292" s="166">
        <f>0.5%+0.04%+0.14%</f>
        <v>0.0068</v>
      </c>
      <c r="AQ292" s="283">
        <f t="shared" si="40"/>
        <v>300</v>
      </c>
      <c r="AR292" s="283"/>
      <c r="AS292" s="223"/>
      <c r="AT292" s="223">
        <v>100</v>
      </c>
      <c r="AU292" s="223"/>
      <c r="AV292" s="223">
        <v>200</v>
      </c>
      <c r="AW292" s="223"/>
      <c r="AX292" s="223"/>
      <c r="AY292" s="223"/>
      <c r="AZ292" s="223"/>
      <c r="BA292" s="300">
        <v>150201</v>
      </c>
      <c r="BB292" s="223"/>
      <c r="BC292" s="300"/>
      <c r="BD292" s="125">
        <v>590000</v>
      </c>
      <c r="CI292" s="125" t="s">
        <v>260</v>
      </c>
      <c r="CJ292" s="125" t="s">
        <v>271</v>
      </c>
      <c r="CK292" s="125" t="s">
        <v>261</v>
      </c>
    </row>
    <row r="293" s="125" customFormat="1" customHeight="1" spans="1:92">
      <c r="A293" s="125">
        <v>240</v>
      </c>
      <c r="C293" s="168">
        <v>45198</v>
      </c>
      <c r="D293" s="295" t="s">
        <v>4623</v>
      </c>
      <c r="F293" s="295" t="s">
        <v>4624</v>
      </c>
      <c r="G293" s="292" t="s">
        <v>4625</v>
      </c>
      <c r="H293" s="1038" t="s">
        <v>4626</v>
      </c>
      <c r="I293" s="284" t="s">
        <v>4627</v>
      </c>
      <c r="J293" s="125">
        <v>126.5</v>
      </c>
      <c r="K293" s="125">
        <v>126.5</v>
      </c>
      <c r="L293" s="125">
        <v>5894.38</v>
      </c>
      <c r="M293" s="325">
        <v>745639</v>
      </c>
      <c r="N293" s="326">
        <v>5894.38</v>
      </c>
      <c r="O293" s="165">
        <v>684072.48</v>
      </c>
      <c r="P293" s="294" t="s">
        <v>4628</v>
      </c>
      <c r="Q293" s="328">
        <v>45877</v>
      </c>
      <c r="R293" s="223"/>
      <c r="S293" s="224"/>
      <c r="T293" s="292"/>
      <c r="U293" s="286" t="s">
        <v>284</v>
      </c>
      <c r="V293" s="223"/>
      <c r="W293" s="168"/>
      <c r="X293" s="223">
        <v>20000</v>
      </c>
      <c r="Y293" s="224" t="s">
        <v>826</v>
      </c>
      <c r="Z293" s="223">
        <v>129639</v>
      </c>
      <c r="AA293" s="224" t="s">
        <v>455</v>
      </c>
      <c r="AB293" s="223">
        <v>596000</v>
      </c>
      <c r="AC293" s="224" t="s">
        <v>3864</v>
      </c>
      <c r="AD293" s="168"/>
      <c r="AE293" s="168"/>
      <c r="AF293" s="168"/>
      <c r="AG293" s="168"/>
      <c r="AH293" s="223">
        <f t="shared" si="38"/>
        <v>745639</v>
      </c>
      <c r="AK293" s="171">
        <f t="shared" si="43"/>
        <v>0</v>
      </c>
      <c r="AL293" s="295" t="s">
        <v>4629</v>
      </c>
      <c r="AM293" s="329"/>
      <c r="AN293" s="330"/>
      <c r="AO293" s="125">
        <f t="shared" si="39"/>
        <v>745639</v>
      </c>
      <c r="AP293" s="166">
        <f>0.5%+0.03%+0.14%</f>
        <v>0.0067</v>
      </c>
      <c r="AQ293" s="283">
        <f t="shared" si="40"/>
        <v>100</v>
      </c>
      <c r="AR293" s="283">
        <v>100</v>
      </c>
      <c r="AS293" s="223"/>
      <c r="AT293" s="223"/>
      <c r="AU293" s="223"/>
      <c r="AV293" s="223"/>
      <c r="AW293" s="223"/>
      <c r="AX293" s="223"/>
      <c r="AY293" s="223"/>
      <c r="AZ293" s="223"/>
      <c r="BA293" s="300">
        <v>149639</v>
      </c>
      <c r="BB293" s="223"/>
      <c r="BC293" s="300"/>
      <c r="BD293" s="125">
        <v>596000</v>
      </c>
      <c r="CI293" s="125" t="s">
        <v>260</v>
      </c>
      <c r="CJ293" s="125" t="s">
        <v>271</v>
      </c>
      <c r="CK293" s="125" t="s">
        <v>261</v>
      </c>
    </row>
    <row r="294" s="125" customFormat="1" customHeight="1" spans="1:92">
      <c r="A294" s="125">
        <v>241</v>
      </c>
      <c r="C294" s="168">
        <v>45184</v>
      </c>
      <c r="D294" s="294" t="s">
        <v>4630</v>
      </c>
      <c r="F294" s="295" t="s">
        <v>4631</v>
      </c>
      <c r="G294" s="174" t="s">
        <v>4632</v>
      </c>
      <c r="H294" s="1038" t="s">
        <v>4633</v>
      </c>
      <c r="I294" s="284" t="s">
        <v>4634</v>
      </c>
      <c r="J294" s="125">
        <v>126.5</v>
      </c>
      <c r="K294" s="125">
        <v>126.5</v>
      </c>
      <c r="L294" s="125">
        <v>5916.38</v>
      </c>
      <c r="M294" s="325">
        <v>748422</v>
      </c>
      <c r="N294" s="326">
        <f>5966.38-50</f>
        <v>5916.38</v>
      </c>
      <c r="O294" s="165">
        <v>686625.69</v>
      </c>
      <c r="P294" s="294" t="s">
        <v>4635</v>
      </c>
      <c r="Q294" s="328">
        <v>45877</v>
      </c>
      <c r="R294" s="223"/>
      <c r="S294" s="224"/>
      <c r="T294" s="174"/>
      <c r="U294" s="224" t="s">
        <v>370</v>
      </c>
      <c r="V294" s="223">
        <f>20000+68422+50000</f>
        <v>138422</v>
      </c>
      <c r="W294" s="224" t="s">
        <v>917</v>
      </c>
      <c r="X294" s="223">
        <v>20000</v>
      </c>
      <c r="Y294" s="224" t="s">
        <v>1994</v>
      </c>
      <c r="Z294" s="223">
        <v>590000</v>
      </c>
      <c r="AA294" s="224" t="s">
        <v>2291</v>
      </c>
      <c r="AB294" s="223"/>
      <c r="AH294" s="223">
        <f t="shared" si="38"/>
        <v>748422</v>
      </c>
      <c r="AK294" s="171">
        <f t="shared" si="43"/>
        <v>0</v>
      </c>
      <c r="AL294" s="295" t="s">
        <v>4636</v>
      </c>
      <c r="AM294" s="329"/>
      <c r="AN294" s="330"/>
      <c r="AO294" s="125">
        <f t="shared" si="39"/>
        <v>748422</v>
      </c>
      <c r="AP294" s="166">
        <f>0.5%+0.04%+0.14%</f>
        <v>0.0068</v>
      </c>
      <c r="AQ294" s="283">
        <f t="shared" si="40"/>
        <v>100</v>
      </c>
      <c r="AR294" s="223"/>
      <c r="AS294" s="223">
        <v>100</v>
      </c>
      <c r="AT294" s="223"/>
      <c r="AU294" s="223"/>
      <c r="AV294" s="223"/>
      <c r="AW294" s="223"/>
      <c r="AX294" s="223"/>
      <c r="AY294" s="223"/>
      <c r="AZ294" s="223"/>
      <c r="BA294" s="300"/>
      <c r="BB294" s="223"/>
      <c r="BC294" s="300">
        <v>748422</v>
      </c>
      <c r="CI294" s="125" t="s">
        <v>260</v>
      </c>
      <c r="CJ294" s="125" t="s">
        <v>271</v>
      </c>
      <c r="CK294" s="125" t="s">
        <v>261</v>
      </c>
    </row>
    <row r="295" s="125" customFormat="1" customHeight="1" spans="1:92">
      <c r="A295" s="125">
        <v>242</v>
      </c>
      <c r="C295" s="168">
        <v>45153</v>
      </c>
      <c r="D295" s="294" t="s">
        <v>4637</v>
      </c>
      <c r="F295" s="295" t="s">
        <v>4638</v>
      </c>
      <c r="G295" s="175" t="s">
        <v>4639</v>
      </c>
      <c r="H295" s="1039" t="s">
        <v>4640</v>
      </c>
      <c r="I295" s="281" t="s">
        <v>4641</v>
      </c>
      <c r="J295" s="125">
        <v>126.5</v>
      </c>
      <c r="K295" s="125">
        <v>126.5</v>
      </c>
      <c r="L295" s="125">
        <v>5900</v>
      </c>
      <c r="M295" s="325">
        <f>K295*L295</f>
        <v>746350</v>
      </c>
      <c r="N295" s="326">
        <f>5959.38-59.38</f>
        <v>5900</v>
      </c>
      <c r="O295" s="165">
        <v>684724.77</v>
      </c>
      <c r="P295" s="294" t="s">
        <v>4642</v>
      </c>
      <c r="Q295" s="328">
        <v>45877</v>
      </c>
      <c r="R295" s="223"/>
      <c r="S295" s="224"/>
      <c r="T295" s="1038" t="s">
        <v>4643</v>
      </c>
      <c r="U295" s="224" t="s">
        <v>561</v>
      </c>
      <c r="V295" s="223">
        <v>10000</v>
      </c>
      <c r="W295" s="224" t="s">
        <v>846</v>
      </c>
      <c r="X295" s="223">
        <v>10000</v>
      </c>
      <c r="Y295" s="224" t="s">
        <v>917</v>
      </c>
      <c r="Z295" s="223">
        <f>280000+350</f>
        <v>280350</v>
      </c>
      <c r="AA295" s="224" t="s">
        <v>1009</v>
      </c>
      <c r="AB295" s="223">
        <v>446000</v>
      </c>
      <c r="AC295" s="224" t="s">
        <v>355</v>
      </c>
      <c r="AD295" s="168"/>
      <c r="AE295" s="168"/>
      <c r="AF295" s="168"/>
      <c r="AG295" s="168"/>
      <c r="AH295" s="223">
        <f t="shared" si="38"/>
        <v>746350</v>
      </c>
      <c r="AK295" s="171">
        <f t="shared" si="43"/>
        <v>0</v>
      </c>
      <c r="AL295" s="295" t="s">
        <v>4644</v>
      </c>
      <c r="AM295" s="329"/>
      <c r="AN295" s="330"/>
      <c r="AO295" s="125">
        <f t="shared" si="39"/>
        <v>746350</v>
      </c>
      <c r="AP295" s="166">
        <f>0.7%+0.05%+0.14%</f>
        <v>0.0089</v>
      </c>
      <c r="AQ295" s="283">
        <f t="shared" si="40"/>
        <v>200</v>
      </c>
      <c r="AR295" s="223"/>
      <c r="AS295" s="223"/>
      <c r="AT295" s="223"/>
      <c r="AU295" s="223"/>
      <c r="AV295" s="223">
        <v>200</v>
      </c>
      <c r="AW295" s="223"/>
      <c r="AX295" s="223"/>
      <c r="AY295" s="223"/>
      <c r="AZ295" s="223">
        <v>300350</v>
      </c>
      <c r="BA295" s="300"/>
      <c r="BB295" s="223"/>
      <c r="BC295" s="300"/>
      <c r="BD295" s="125">
        <v>446000</v>
      </c>
      <c r="CI295" s="125" t="s">
        <v>260</v>
      </c>
      <c r="CJ295" s="125" t="s">
        <v>271</v>
      </c>
      <c r="CK295" s="125" t="s">
        <v>261</v>
      </c>
    </row>
    <row r="296" s="125" customFormat="1" customHeight="1" spans="1:92">
      <c r="A296" s="125">
        <v>243</v>
      </c>
      <c r="C296" s="168">
        <v>45149</v>
      </c>
      <c r="D296" s="294" t="s">
        <v>4645</v>
      </c>
      <c r="F296" s="125" t="s">
        <v>4646</v>
      </c>
      <c r="G296" s="292" t="s">
        <v>4647</v>
      </c>
      <c r="H296" s="292"/>
      <c r="I296" s="284" t="s">
        <v>4648</v>
      </c>
      <c r="J296" s="125">
        <v>126.5</v>
      </c>
      <c r="K296" s="125">
        <v>126.5</v>
      </c>
      <c r="L296" s="125">
        <v>6011.38</v>
      </c>
      <c r="M296" s="325">
        <v>760440</v>
      </c>
      <c r="N296" s="326">
        <v>6011.38</v>
      </c>
      <c r="O296" s="165">
        <v>697651.38</v>
      </c>
      <c r="P296" s="294" t="s">
        <v>4649</v>
      </c>
      <c r="Q296" s="328">
        <v>45877</v>
      </c>
      <c r="R296" s="223"/>
      <c r="S296" s="224"/>
      <c r="T296" s="1039" t="s">
        <v>4650</v>
      </c>
      <c r="U296" s="292" t="s">
        <v>546</v>
      </c>
      <c r="V296" s="223">
        <f>10000+60000+440+400000</f>
        <v>470440</v>
      </c>
      <c r="W296" s="224" t="s">
        <v>810</v>
      </c>
      <c r="X296" s="223">
        <v>290000</v>
      </c>
      <c r="Y296" s="224" t="s">
        <v>305</v>
      </c>
      <c r="AA296" s="168"/>
      <c r="AB296" s="223"/>
      <c r="AH296" s="223">
        <f t="shared" si="38"/>
        <v>760440</v>
      </c>
      <c r="AK296" s="171">
        <f t="shared" si="43"/>
        <v>0</v>
      </c>
      <c r="AL296" s="295" t="s">
        <v>4651</v>
      </c>
      <c r="AM296" s="329"/>
      <c r="AN296" s="330"/>
      <c r="AO296" s="125">
        <f t="shared" si="39"/>
        <v>760440</v>
      </c>
      <c r="AP296" s="166">
        <f>0.7%+0.14%</f>
        <v>0.0084</v>
      </c>
      <c r="AQ296" s="283">
        <f t="shared" si="40"/>
        <v>300</v>
      </c>
      <c r="AR296" s="223"/>
      <c r="AS296" s="223"/>
      <c r="AT296" s="223"/>
      <c r="AU296" s="223"/>
      <c r="AV296" s="223">
        <f>100+200</f>
        <v>300</v>
      </c>
      <c r="AW296" s="223"/>
      <c r="AX296" s="223"/>
      <c r="AY296" s="223"/>
      <c r="AZ296" s="223"/>
      <c r="BA296" s="300"/>
      <c r="BB296" s="223"/>
      <c r="BC296" s="300">
        <v>760440</v>
      </c>
      <c r="CI296" s="125" t="s">
        <v>260</v>
      </c>
      <c r="CJ296" s="125" t="s">
        <v>271</v>
      </c>
      <c r="CK296" s="125" t="s">
        <v>261</v>
      </c>
    </row>
    <row r="297" s="125" customFormat="1" customHeight="1" spans="1:92">
      <c r="A297" s="125">
        <v>244</v>
      </c>
      <c r="C297" s="168">
        <v>45151</v>
      </c>
      <c r="D297" s="294" t="s">
        <v>4652</v>
      </c>
      <c r="F297" s="295" t="s">
        <v>4653</v>
      </c>
      <c r="G297" s="174" t="s">
        <v>4654</v>
      </c>
      <c r="H297" s="1038" t="s">
        <v>4655</v>
      </c>
      <c r="I297" s="281" t="s">
        <v>4656</v>
      </c>
      <c r="J297" s="125">
        <v>126.5</v>
      </c>
      <c r="K297" s="125">
        <v>126.5</v>
      </c>
      <c r="L297" s="125">
        <v>5954.38</v>
      </c>
      <c r="M297" s="325">
        <v>753229</v>
      </c>
      <c r="N297" s="326">
        <f>6004.38-50</f>
        <v>5954.38</v>
      </c>
      <c r="O297" s="165">
        <v>691035.78</v>
      </c>
      <c r="P297" s="294" t="s">
        <v>4657</v>
      </c>
      <c r="Q297" s="328">
        <v>45877</v>
      </c>
      <c r="R297" s="223"/>
      <c r="S297" s="224"/>
      <c r="T297" s="1038" t="s">
        <v>1543</v>
      </c>
      <c r="U297" s="224" t="s">
        <v>267</v>
      </c>
      <c r="V297" s="223">
        <v>10000</v>
      </c>
      <c r="W297" s="224" t="s">
        <v>2047</v>
      </c>
      <c r="X297" s="223">
        <v>10000</v>
      </c>
      <c r="Y297" s="224" t="s">
        <v>4621</v>
      </c>
      <c r="Z297" s="223">
        <v>233229</v>
      </c>
      <c r="AA297" s="224" t="s">
        <v>1411</v>
      </c>
      <c r="AB297" s="223">
        <v>500000</v>
      </c>
      <c r="AC297" s="224" t="s">
        <v>1390</v>
      </c>
      <c r="AH297" s="223">
        <f t="shared" si="38"/>
        <v>753229</v>
      </c>
      <c r="AK297" s="171">
        <f t="shared" si="43"/>
        <v>0</v>
      </c>
      <c r="AL297" s="295"/>
      <c r="AM297" s="329"/>
      <c r="AN297" s="330"/>
      <c r="AO297" s="125">
        <f t="shared" si="39"/>
        <v>753229</v>
      </c>
      <c r="AP297" s="166">
        <f>0.5%+0.14%</f>
        <v>0.0064</v>
      </c>
      <c r="AQ297" s="283">
        <f t="shared" si="40"/>
        <v>300</v>
      </c>
      <c r="AR297" s="223"/>
      <c r="AS297" s="223"/>
      <c r="AT297" s="223"/>
      <c r="AU297" s="223">
        <v>100</v>
      </c>
      <c r="AV297" s="223">
        <v>200</v>
      </c>
      <c r="AW297" s="223"/>
      <c r="AX297" s="223"/>
      <c r="AY297" s="223"/>
      <c r="AZ297" s="223">
        <v>253229</v>
      </c>
      <c r="BA297" s="300"/>
      <c r="BB297" s="223">
        <v>500000</v>
      </c>
      <c r="BC297" s="300"/>
      <c r="CI297" s="125" t="s">
        <v>260</v>
      </c>
      <c r="CJ297" s="125" t="s">
        <v>271</v>
      </c>
      <c r="CK297" s="125" t="s">
        <v>261</v>
      </c>
    </row>
    <row r="298" s="125" customFormat="1" customHeight="1" spans="1:92">
      <c r="A298" s="125">
        <v>245</v>
      </c>
      <c r="C298" s="168">
        <v>45177</v>
      </c>
      <c r="D298" s="337" t="s">
        <v>4658</v>
      </c>
      <c r="F298" s="295" t="s">
        <v>4659</v>
      </c>
      <c r="G298" s="174" t="s">
        <v>4660</v>
      </c>
      <c r="H298" s="174"/>
      <c r="I298" s="284" t="s">
        <v>4661</v>
      </c>
      <c r="J298" s="125">
        <v>126.5</v>
      </c>
      <c r="K298" s="125">
        <v>126.5</v>
      </c>
      <c r="L298" s="125">
        <v>5986.38</v>
      </c>
      <c r="M298" s="325">
        <v>757277</v>
      </c>
      <c r="N298" s="223">
        <f>6036.38-50</f>
        <v>5986.38</v>
      </c>
      <c r="O298" s="165">
        <v>694749.5</v>
      </c>
      <c r="P298" s="337" t="s">
        <v>4662</v>
      </c>
      <c r="Q298" s="328">
        <v>45877</v>
      </c>
      <c r="R298" s="223"/>
      <c r="T298" s="1039" t="s">
        <v>1424</v>
      </c>
      <c r="U298" s="125" t="s">
        <v>267</v>
      </c>
      <c r="V298" s="223">
        <v>10000</v>
      </c>
      <c r="W298" s="125" t="s">
        <v>1872</v>
      </c>
      <c r="X298" s="223">
        <f>10000+97277</f>
        <v>107277</v>
      </c>
      <c r="Y298" s="125" t="s">
        <v>1881</v>
      </c>
      <c r="Z298" s="223">
        <v>40000</v>
      </c>
      <c r="AA298" s="125" t="s">
        <v>1882</v>
      </c>
      <c r="AB298" s="223">
        <v>600000</v>
      </c>
      <c r="AC298" s="125" t="s">
        <v>597</v>
      </c>
      <c r="AD298" s="338"/>
      <c r="AE298" s="338"/>
      <c r="AF298" s="338"/>
      <c r="AG298" s="338"/>
      <c r="AH298" s="223">
        <f t="shared" si="38"/>
        <v>757277</v>
      </c>
      <c r="AK298" s="171">
        <f t="shared" si="43"/>
        <v>0</v>
      </c>
      <c r="AL298" s="295"/>
      <c r="AM298" s="329"/>
      <c r="AN298" s="339"/>
      <c r="AO298" s="125">
        <f t="shared" si="39"/>
        <v>757277</v>
      </c>
      <c r="AP298" s="166">
        <f>0.5%+0.14%</f>
        <v>0.0064</v>
      </c>
      <c r="AQ298" s="283">
        <f t="shared" si="40"/>
        <v>300</v>
      </c>
      <c r="AR298" s="223"/>
      <c r="AS298" s="223"/>
      <c r="AT298" s="223"/>
      <c r="AU298" s="223"/>
      <c r="AV298" s="223">
        <f>100+200</f>
        <v>300</v>
      </c>
      <c r="AW298" s="223"/>
      <c r="AX298" s="223"/>
      <c r="AY298" s="223"/>
      <c r="AZ298" s="223"/>
      <c r="BA298" s="125">
        <v>157277</v>
      </c>
      <c r="BB298" s="223"/>
      <c r="BD298" s="125">
        <v>600000</v>
      </c>
      <c r="CI298" s="125" t="s">
        <v>260</v>
      </c>
      <c r="CJ298" s="125" t="s">
        <v>271</v>
      </c>
      <c r="CK298" s="125" t="s">
        <v>261</v>
      </c>
    </row>
    <row r="299" s="125" customFormat="1" customHeight="1" spans="1:92">
      <c r="A299" s="125">
        <v>246</v>
      </c>
      <c r="C299" s="168">
        <v>45393</v>
      </c>
      <c r="D299" s="294" t="s">
        <v>4663</v>
      </c>
      <c r="F299" s="295" t="s">
        <v>4664</v>
      </c>
      <c r="G299" s="292" t="s">
        <v>4665</v>
      </c>
      <c r="H299" s="292"/>
      <c r="I299" s="281" t="s">
        <v>4666</v>
      </c>
      <c r="J299" s="125">
        <v>126.5</v>
      </c>
      <c r="K299" s="125">
        <v>126.5</v>
      </c>
      <c r="L299" s="125">
        <v>6029.38</v>
      </c>
      <c r="M299" s="325">
        <v>762717</v>
      </c>
      <c r="N299" s="326">
        <v>6029.38</v>
      </c>
      <c r="O299" s="165">
        <v>699740.37</v>
      </c>
      <c r="P299" s="294" t="s">
        <v>4667</v>
      </c>
      <c r="Q299" s="328">
        <v>45877</v>
      </c>
      <c r="R299" s="223"/>
      <c r="S299" s="286"/>
      <c r="T299" s="292"/>
      <c r="U299" s="286" t="s">
        <v>267</v>
      </c>
      <c r="V299" s="223">
        <v>12717</v>
      </c>
      <c r="W299" s="286" t="s">
        <v>4034</v>
      </c>
      <c r="X299" s="223">
        <v>220000</v>
      </c>
      <c r="Y299" s="286" t="s">
        <v>4010</v>
      </c>
      <c r="Z299" s="125">
        <v>530000</v>
      </c>
      <c r="AA299" s="125" t="s">
        <v>481</v>
      </c>
      <c r="AB299" s="223"/>
      <c r="AH299" s="223">
        <f t="shared" si="38"/>
        <v>762717</v>
      </c>
      <c r="AK299" s="171">
        <f t="shared" si="43"/>
        <v>0</v>
      </c>
      <c r="AL299" s="295" t="s">
        <v>4668</v>
      </c>
      <c r="AM299" s="329"/>
      <c r="AN299" s="330"/>
      <c r="AO299" s="125">
        <f t="shared" si="39"/>
        <v>762717</v>
      </c>
      <c r="AP299" s="169">
        <f>0.6%+0.12%</f>
        <v>0.0072</v>
      </c>
      <c r="AQ299" s="283">
        <f t="shared" si="40"/>
        <v>0</v>
      </c>
      <c r="AR299" s="223"/>
      <c r="AS299" s="223"/>
      <c r="AT299" s="223"/>
      <c r="AU299" s="223"/>
      <c r="AV299" s="223"/>
      <c r="AW299" s="223"/>
      <c r="AX299" s="223"/>
      <c r="AY299" s="223"/>
      <c r="AZ299" s="223"/>
      <c r="BA299" s="300"/>
      <c r="BB299" s="223"/>
      <c r="BC299" s="300"/>
      <c r="BH299" s="125">
        <v>762717</v>
      </c>
      <c r="CI299" s="125" t="s">
        <v>260</v>
      </c>
      <c r="CJ299" s="125" t="s">
        <v>271</v>
      </c>
      <c r="CK299" s="125" t="s">
        <v>261</v>
      </c>
    </row>
    <row r="300" s="125" customFormat="1" customHeight="1" spans="1:92">
      <c r="A300" s="125">
        <v>247</v>
      </c>
      <c r="C300" s="168">
        <v>45302</v>
      </c>
      <c r="D300" s="294" t="s">
        <v>4669</v>
      </c>
      <c r="F300" s="295" t="s">
        <v>4670</v>
      </c>
      <c r="G300" s="292" t="s">
        <v>4671</v>
      </c>
      <c r="H300" s="1039" t="s">
        <v>4672</v>
      </c>
      <c r="I300" s="284" t="s">
        <v>4673</v>
      </c>
      <c r="J300" s="125">
        <v>126.5</v>
      </c>
      <c r="K300" s="125">
        <v>126.5</v>
      </c>
      <c r="L300" s="125">
        <v>6065</v>
      </c>
      <c r="M300" s="325">
        <v>767223</v>
      </c>
      <c r="N300" s="326">
        <v>6061.38</v>
      </c>
      <c r="O300" s="165">
        <v>703874.31</v>
      </c>
      <c r="P300" s="294" t="s">
        <v>4674</v>
      </c>
      <c r="Q300" s="328">
        <v>45877</v>
      </c>
      <c r="R300" s="223"/>
      <c r="S300" s="224"/>
      <c r="T300" s="292" t="s">
        <v>4675</v>
      </c>
      <c r="U300" s="286" t="s">
        <v>4676</v>
      </c>
      <c r="V300" s="223">
        <f>10000-10000</f>
        <v>0</v>
      </c>
      <c r="W300" s="168" t="s">
        <v>2226</v>
      </c>
      <c r="X300" s="223">
        <v>20000</v>
      </c>
      <c r="Y300" s="224" t="s">
        <v>610</v>
      </c>
      <c r="Z300" s="125">
        <v>497223</v>
      </c>
      <c r="AA300" s="168" t="s">
        <v>4677</v>
      </c>
      <c r="AB300" s="223">
        <v>250000</v>
      </c>
      <c r="AC300" s="224" t="s">
        <v>3995</v>
      </c>
      <c r="AD300" s="168"/>
      <c r="AE300" s="168"/>
      <c r="AF300" s="168"/>
      <c r="AG300" s="168"/>
      <c r="AH300" s="223">
        <f t="shared" si="38"/>
        <v>767223</v>
      </c>
      <c r="AK300" s="171">
        <f t="shared" si="43"/>
        <v>0</v>
      </c>
      <c r="AL300" s="295" t="s">
        <v>4678</v>
      </c>
      <c r="AM300" s="329"/>
      <c r="AN300" s="330"/>
      <c r="AO300" s="125">
        <f t="shared" si="39"/>
        <v>767223</v>
      </c>
      <c r="AP300" s="166">
        <f>0.5%+0.04%+0.12%</f>
        <v>0.0066</v>
      </c>
      <c r="AQ300" s="283">
        <f t="shared" si="40"/>
        <v>100</v>
      </c>
      <c r="AR300" s="223"/>
      <c r="AS300" s="223"/>
      <c r="AT300" s="223">
        <v>100</v>
      </c>
      <c r="AU300" s="223"/>
      <c r="AV300" s="223"/>
      <c r="AW300" s="223"/>
      <c r="AX300" s="223"/>
      <c r="AY300" s="223"/>
      <c r="AZ300" s="223"/>
      <c r="BA300" s="300"/>
      <c r="BB300" s="223"/>
      <c r="BC300" s="300"/>
      <c r="BE300" s="125">
        <v>517223</v>
      </c>
      <c r="BG300" s="125">
        <v>250000</v>
      </c>
      <c r="CI300" s="125" t="s">
        <v>260</v>
      </c>
      <c r="CJ300" s="125" t="s">
        <v>271</v>
      </c>
      <c r="CK300" s="125" t="s">
        <v>261</v>
      </c>
    </row>
    <row r="301" s="125" customFormat="1" customHeight="1" spans="1:92">
      <c r="A301" s="125">
        <v>248</v>
      </c>
      <c r="C301" s="168">
        <v>45376</v>
      </c>
      <c r="D301" s="294" t="s">
        <v>4679</v>
      </c>
      <c r="F301" s="295" t="s">
        <v>4680</v>
      </c>
      <c r="G301" s="292" t="s">
        <v>4681</v>
      </c>
      <c r="H301" s="1039" t="s">
        <v>4682</v>
      </c>
      <c r="I301" s="281" t="s">
        <v>4683</v>
      </c>
      <c r="J301" s="125">
        <v>126.5</v>
      </c>
      <c r="K301" s="125">
        <v>126.5</v>
      </c>
      <c r="L301" s="125">
        <v>6054.38</v>
      </c>
      <c r="M301" s="325">
        <v>765879</v>
      </c>
      <c r="N301" s="326">
        <v>6054.38</v>
      </c>
      <c r="O301" s="165">
        <v>702641.28</v>
      </c>
      <c r="P301" s="294" t="s">
        <v>4684</v>
      </c>
      <c r="Q301" s="328">
        <v>45877</v>
      </c>
      <c r="R301" s="223"/>
      <c r="S301" s="224"/>
      <c r="T301" s="292"/>
      <c r="U301" s="292" t="s">
        <v>284</v>
      </c>
      <c r="V301" s="223">
        <v>20000</v>
      </c>
      <c r="W301" s="224" t="s">
        <v>3866</v>
      </c>
      <c r="X301" s="223">
        <v>135879</v>
      </c>
      <c r="Y301" s="168" t="s">
        <v>3649</v>
      </c>
      <c r="Z301" s="223">
        <v>610000</v>
      </c>
      <c r="AA301" s="224" t="s">
        <v>4308</v>
      </c>
      <c r="AB301" s="223"/>
      <c r="AC301" s="168"/>
      <c r="AD301" s="168"/>
      <c r="AE301" s="168"/>
      <c r="AF301" s="168"/>
      <c r="AG301" s="168"/>
      <c r="AH301" s="223">
        <f t="shared" si="38"/>
        <v>765879</v>
      </c>
      <c r="AK301" s="171">
        <f t="shared" si="43"/>
        <v>0</v>
      </c>
      <c r="AL301" s="295" t="s">
        <v>4685</v>
      </c>
      <c r="AM301" s="329"/>
      <c r="AN301" s="330"/>
      <c r="AO301" s="125">
        <f t="shared" si="39"/>
        <v>765879</v>
      </c>
      <c r="AP301" s="169">
        <f>0.7%+0.04%+0.12%</f>
        <v>0.0086</v>
      </c>
      <c r="AQ301" s="283">
        <f t="shared" si="40"/>
        <v>0</v>
      </c>
      <c r="AR301" s="223"/>
      <c r="AS301" s="223"/>
      <c r="AT301" s="223"/>
      <c r="AU301" s="223"/>
      <c r="AV301" s="223"/>
      <c r="AW301" s="223"/>
      <c r="AX301" s="223"/>
      <c r="AY301" s="223"/>
      <c r="AZ301" s="223"/>
      <c r="BA301" s="300"/>
      <c r="BB301" s="223"/>
      <c r="BC301" s="300"/>
      <c r="BG301" s="125">
        <v>155879</v>
      </c>
      <c r="BH301" s="125">
        <v>610000</v>
      </c>
      <c r="CI301" s="125" t="s">
        <v>260</v>
      </c>
      <c r="CJ301" s="125" t="s">
        <v>271</v>
      </c>
      <c r="CK301" s="125" t="s">
        <v>261</v>
      </c>
      <c r="CN301" s="125">
        <f>CL301-CM301</f>
        <v>0</v>
      </c>
    </row>
    <row r="302" s="125" customFormat="1" customHeight="1" spans="1:92">
      <c r="A302" s="125">
        <v>249</v>
      </c>
      <c r="C302" s="168">
        <v>45390</v>
      </c>
      <c r="D302" s="294" t="s">
        <v>4686</v>
      </c>
      <c r="F302" s="295" t="s">
        <v>4687</v>
      </c>
      <c r="G302" s="292" t="s">
        <v>4688</v>
      </c>
      <c r="H302" s="292"/>
      <c r="I302" s="284" t="s">
        <v>4689</v>
      </c>
      <c r="J302" s="125">
        <v>126.5</v>
      </c>
      <c r="K302" s="125">
        <v>126.5</v>
      </c>
      <c r="L302" s="125">
        <v>6081.38</v>
      </c>
      <c r="M302" s="325">
        <v>769295</v>
      </c>
      <c r="N302" s="326">
        <v>6081.38</v>
      </c>
      <c r="O302" s="165">
        <v>705775.23</v>
      </c>
      <c r="P302" s="294" t="s">
        <v>4690</v>
      </c>
      <c r="Q302" s="328">
        <v>45877</v>
      </c>
      <c r="R302" s="223"/>
      <c r="S302" s="224"/>
      <c r="T302" s="292"/>
      <c r="U302" s="286" t="s">
        <v>277</v>
      </c>
      <c r="V302" s="223">
        <v>9295</v>
      </c>
      <c r="W302" s="224" t="s">
        <v>3668</v>
      </c>
      <c r="X302" s="223">
        <v>150000</v>
      </c>
      <c r="Y302" s="224" t="s">
        <v>3978</v>
      </c>
      <c r="Z302" s="223">
        <v>610000</v>
      </c>
      <c r="AA302" s="224" t="s">
        <v>4691</v>
      </c>
      <c r="AB302" s="223"/>
      <c r="AH302" s="223">
        <f t="shared" si="38"/>
        <v>769295</v>
      </c>
      <c r="AK302" s="171">
        <f t="shared" ref="AK302:AK329" si="44">M302-AH302</f>
        <v>0</v>
      </c>
      <c r="AL302" s="295"/>
      <c r="AM302" s="329"/>
      <c r="AN302" s="330"/>
      <c r="AO302" s="125">
        <f t="shared" si="39"/>
        <v>769295</v>
      </c>
      <c r="AP302" s="169">
        <f>0.7%+0.05%+0.12%</f>
        <v>0.0087</v>
      </c>
      <c r="AQ302" s="283">
        <f t="shared" si="40"/>
        <v>0</v>
      </c>
      <c r="AR302" s="223"/>
      <c r="AS302" s="223"/>
      <c r="AT302" s="223"/>
      <c r="AU302" s="223"/>
      <c r="AV302" s="223"/>
      <c r="AW302" s="223"/>
      <c r="AX302" s="223"/>
      <c r="AY302" s="223"/>
      <c r="AZ302" s="223"/>
      <c r="BA302" s="300"/>
      <c r="BB302" s="223"/>
      <c r="BC302" s="300"/>
      <c r="BH302" s="125">
        <v>159295</v>
      </c>
      <c r="BI302" s="125">
        <v>610000</v>
      </c>
      <c r="CI302" s="125" t="s">
        <v>260</v>
      </c>
      <c r="CJ302" s="125" t="s">
        <v>271</v>
      </c>
      <c r="CK302" s="125" t="s">
        <v>261</v>
      </c>
    </row>
    <row r="303" s="125" customFormat="1" customHeight="1" spans="1:92">
      <c r="A303" s="125">
        <v>250</v>
      </c>
      <c r="C303" s="168">
        <v>45483</v>
      </c>
      <c r="D303" s="294" t="s">
        <v>4692</v>
      </c>
      <c r="F303" s="295" t="s">
        <v>4693</v>
      </c>
      <c r="G303" s="175" t="s">
        <v>4694</v>
      </c>
      <c r="H303" s="175"/>
      <c r="I303" s="281" t="s">
        <v>4695</v>
      </c>
      <c r="J303" s="125">
        <v>126.5</v>
      </c>
      <c r="K303" s="125">
        <v>126.5</v>
      </c>
      <c r="L303" s="125">
        <v>6119</v>
      </c>
      <c r="M303" s="325">
        <v>774053</v>
      </c>
      <c r="N303" s="326">
        <v>6074.38</v>
      </c>
      <c r="O303" s="327">
        <v>710140.37</v>
      </c>
      <c r="P303" s="294" t="s">
        <v>4696</v>
      </c>
      <c r="Q303" s="328">
        <v>45877</v>
      </c>
      <c r="R303" s="223"/>
      <c r="S303" s="224"/>
      <c r="T303" s="174"/>
      <c r="U303" s="224" t="s">
        <v>284</v>
      </c>
      <c r="V303" s="223">
        <v>145053</v>
      </c>
      <c r="W303" s="224" t="s">
        <v>3273</v>
      </c>
      <c r="X303" s="223">
        <v>10000</v>
      </c>
      <c r="Y303" s="336" t="s">
        <v>4697</v>
      </c>
      <c r="Z303" s="223">
        <v>619000</v>
      </c>
      <c r="AA303" s="224">
        <v>45540</v>
      </c>
      <c r="AB303" s="223"/>
      <c r="AH303" s="223">
        <f t="shared" si="38"/>
        <v>774053</v>
      </c>
      <c r="AK303" s="171">
        <f t="shared" si="44"/>
        <v>0</v>
      </c>
      <c r="AL303" s="295" t="s">
        <v>4698</v>
      </c>
      <c r="AM303" s="329"/>
      <c r="AN303" s="330"/>
      <c r="AO303" s="125">
        <f t="shared" si="39"/>
        <v>774053</v>
      </c>
      <c r="AP303" s="177">
        <f>0.7%+0.03%+0.08%</f>
        <v>0.0081</v>
      </c>
      <c r="AQ303" s="283">
        <f t="shared" si="40"/>
        <v>0</v>
      </c>
      <c r="AR303" s="223"/>
      <c r="AS303" s="223"/>
      <c r="AT303" s="223"/>
      <c r="AU303" s="223"/>
      <c r="AV303" s="223"/>
      <c r="AW303" s="223"/>
      <c r="AX303" s="223"/>
      <c r="AY303" s="223"/>
      <c r="AZ303" s="223"/>
      <c r="BA303" s="300"/>
      <c r="BB303" s="223"/>
      <c r="BC303" s="300"/>
      <c r="BK303" s="125">
        <v>155053</v>
      </c>
      <c r="BM303" s="125">
        <v>619000</v>
      </c>
      <c r="CI303" s="125" t="s">
        <v>260</v>
      </c>
      <c r="CJ303" s="125" t="s">
        <v>271</v>
      </c>
      <c r="CK303" s="125" t="s">
        <v>261</v>
      </c>
    </row>
    <row r="304" s="101" customFormat="1" customHeight="1" spans="1:92">
      <c r="A304" s="101">
        <v>251</v>
      </c>
      <c r="D304" s="332"/>
      <c r="F304" s="318"/>
      <c r="G304" s="244"/>
      <c r="H304" s="244"/>
      <c r="I304" s="278" t="s">
        <v>4699</v>
      </c>
      <c r="J304" s="323">
        <v>126.5</v>
      </c>
      <c r="M304" s="314"/>
      <c r="N304" s="315">
        <v>7084</v>
      </c>
      <c r="O304" s="333"/>
      <c r="P304" s="332"/>
      <c r="Q304" s="334"/>
      <c r="R304" s="242"/>
      <c r="S304" s="297"/>
      <c r="T304" s="298"/>
      <c r="U304" s="297"/>
      <c r="V304" s="242"/>
      <c r="W304" s="291"/>
      <c r="X304" s="242"/>
      <c r="Y304" s="317"/>
      <c r="AB304" s="242"/>
      <c r="AH304" s="242">
        <f t="shared" si="38"/>
        <v>0</v>
      </c>
      <c r="AK304" s="205">
        <f t="shared" si="44"/>
        <v>0</v>
      </c>
      <c r="AL304" s="318"/>
      <c r="AM304" s="319"/>
      <c r="AN304" s="335"/>
      <c r="AO304" s="101">
        <f t="shared" si="39"/>
        <v>0</v>
      </c>
      <c r="AP304" s="158"/>
      <c r="AQ304" s="277">
        <f t="shared" si="40"/>
        <v>0</v>
      </c>
      <c r="AR304" s="242"/>
      <c r="AS304" s="242"/>
      <c r="AT304" s="242"/>
      <c r="AU304" s="242"/>
      <c r="AV304" s="242"/>
      <c r="AW304" s="242"/>
      <c r="AX304" s="242"/>
      <c r="AY304" s="242"/>
      <c r="AZ304" s="242"/>
      <c r="BA304" s="299"/>
      <c r="BB304" s="242"/>
      <c r="BC304" s="299"/>
    </row>
    <row r="305" s="101" customFormat="1" customHeight="1" spans="1:89">
      <c r="A305" s="101">
        <v>252</v>
      </c>
      <c r="D305" s="332"/>
      <c r="F305" s="318"/>
      <c r="G305" s="244"/>
      <c r="H305" s="244"/>
      <c r="I305" s="273" t="s">
        <v>4700</v>
      </c>
      <c r="J305" s="323">
        <v>126.5</v>
      </c>
      <c r="M305" s="314"/>
      <c r="N305" s="315">
        <v>7074</v>
      </c>
      <c r="O305" s="333"/>
      <c r="P305" s="332"/>
      <c r="Q305" s="334"/>
      <c r="R305" s="242"/>
      <c r="S305" s="243"/>
      <c r="T305" s="298"/>
      <c r="U305" s="244"/>
      <c r="V305" s="242"/>
      <c r="W305" s="316"/>
      <c r="X305" s="242"/>
      <c r="Y305" s="317"/>
      <c r="AB305" s="242"/>
      <c r="AH305" s="242">
        <f t="shared" si="38"/>
        <v>0</v>
      </c>
      <c r="AK305" s="205">
        <f t="shared" si="44"/>
        <v>0</v>
      </c>
      <c r="AL305" s="318"/>
      <c r="AM305" s="319"/>
      <c r="AN305" s="335"/>
      <c r="AO305" s="101">
        <f t="shared" si="39"/>
        <v>0</v>
      </c>
      <c r="AP305" s="158"/>
      <c r="AQ305" s="277">
        <f t="shared" si="40"/>
        <v>0</v>
      </c>
      <c r="AR305" s="242"/>
      <c r="AS305" s="242"/>
      <c r="AT305" s="242"/>
      <c r="AU305" s="242"/>
      <c r="AV305" s="242"/>
      <c r="AW305" s="242"/>
      <c r="AX305" s="242"/>
      <c r="AY305" s="242"/>
      <c r="AZ305" s="242"/>
      <c r="BA305" s="299"/>
      <c r="BB305" s="242"/>
      <c r="BC305" s="299"/>
    </row>
    <row r="306" s="125" customFormat="1" customHeight="1" spans="1:89">
      <c r="A306" s="125">
        <v>253</v>
      </c>
      <c r="C306" s="168">
        <v>45164</v>
      </c>
      <c r="D306" s="294" t="s">
        <v>4701</v>
      </c>
      <c r="F306" s="295" t="s">
        <v>4702</v>
      </c>
      <c r="G306" s="175" t="s">
        <v>4703</v>
      </c>
      <c r="H306" s="1040" t="s">
        <v>4704</v>
      </c>
      <c r="I306" s="281" t="s">
        <v>4705</v>
      </c>
      <c r="J306" s="125">
        <v>128.86</v>
      </c>
      <c r="K306" s="125">
        <v>128.86</v>
      </c>
      <c r="L306" s="125">
        <v>8391.065</v>
      </c>
      <c r="M306" s="325">
        <v>1081273</v>
      </c>
      <c r="N306" s="326">
        <f>8464-72.93</f>
        <v>8391.07</v>
      </c>
      <c r="O306" s="165">
        <v>991993.58</v>
      </c>
      <c r="P306" s="294" t="s">
        <v>4706</v>
      </c>
      <c r="Q306" s="328">
        <v>45881</v>
      </c>
      <c r="R306" s="223"/>
      <c r="S306" s="286"/>
      <c r="T306" s="1039" t="s">
        <v>1999</v>
      </c>
      <c r="U306" s="286" t="s">
        <v>380</v>
      </c>
      <c r="V306" s="223">
        <v>1000</v>
      </c>
      <c r="W306" s="125" t="s">
        <v>2456</v>
      </c>
      <c r="X306" s="223">
        <v>277000</v>
      </c>
      <c r="Y306" s="286" t="s">
        <v>679</v>
      </c>
      <c r="Z306" s="125">
        <f>800000+3273</f>
        <v>803273</v>
      </c>
      <c r="AA306" s="125" t="s">
        <v>959</v>
      </c>
      <c r="AB306" s="223"/>
      <c r="AC306" s="125"/>
      <c r="AD306" s="223"/>
      <c r="AE306" s="286"/>
      <c r="AF306" s="125"/>
      <c r="AG306" s="125"/>
      <c r="AH306" s="223">
        <f t="shared" si="38"/>
        <v>1081273</v>
      </c>
      <c r="AK306" s="171">
        <f t="shared" si="44"/>
        <v>0</v>
      </c>
      <c r="AL306" s="295" t="s">
        <v>4707</v>
      </c>
      <c r="AM306" s="329"/>
      <c r="AN306" s="330"/>
      <c r="AO306" s="125">
        <f t="shared" si="39"/>
        <v>1078000</v>
      </c>
      <c r="AP306" s="166">
        <f>0.6%+0.05%+0.14%</f>
        <v>0.0079</v>
      </c>
      <c r="AQ306" s="283">
        <f t="shared" si="40"/>
        <v>300</v>
      </c>
      <c r="AR306" s="223"/>
      <c r="AS306" s="223"/>
      <c r="AT306" s="223">
        <v>100</v>
      </c>
      <c r="AU306" s="223"/>
      <c r="AV306" s="223">
        <v>200</v>
      </c>
      <c r="AW306" s="223"/>
      <c r="AX306" s="223"/>
      <c r="AY306" s="223"/>
      <c r="AZ306" s="223"/>
      <c r="BA306" s="300"/>
      <c r="BB306" s="223">
        <v>1078000</v>
      </c>
      <c r="BC306" s="300"/>
      <c r="CI306" s="125" t="s">
        <v>260</v>
      </c>
      <c r="CJ306" s="125" t="s">
        <v>271</v>
      </c>
      <c r="CK306" s="125" t="s">
        <v>261</v>
      </c>
    </row>
    <row r="307" s="101" customFormat="1" customHeight="1" spans="1:89">
      <c r="A307" s="101">
        <v>254</v>
      </c>
      <c r="D307" s="332"/>
      <c r="F307" s="318"/>
      <c r="I307" s="278" t="s">
        <v>4708</v>
      </c>
      <c r="J307" s="340">
        <v>109.5</v>
      </c>
      <c r="M307" s="314"/>
      <c r="N307" s="315">
        <v>8654</v>
      </c>
      <c r="O307" s="333"/>
      <c r="P307" s="332"/>
      <c r="Q307" s="334"/>
      <c r="R307" s="242"/>
      <c r="S307" s="243"/>
      <c r="T307" s="298"/>
      <c r="U307" s="297"/>
      <c r="V307" s="242"/>
      <c r="W307" s="317"/>
      <c r="X307" s="242"/>
      <c r="Y307" s="317"/>
      <c r="AB307" s="242"/>
      <c r="AH307" s="242">
        <f t="shared" si="38"/>
        <v>0</v>
      </c>
      <c r="AK307" s="205">
        <f t="shared" si="44"/>
        <v>0</v>
      </c>
      <c r="AL307" s="318"/>
      <c r="AM307" s="319"/>
      <c r="AN307" s="335"/>
      <c r="AO307" s="101">
        <f t="shared" si="39"/>
        <v>0</v>
      </c>
      <c r="AP307" s="158"/>
      <c r="AQ307" s="277">
        <f t="shared" si="40"/>
        <v>0</v>
      </c>
      <c r="AR307" s="242"/>
      <c r="AS307" s="242"/>
      <c r="AT307" s="242"/>
      <c r="AU307" s="242"/>
      <c r="AV307" s="242"/>
      <c r="AW307" s="242"/>
      <c r="AX307" s="242"/>
      <c r="AY307" s="242"/>
      <c r="AZ307" s="242"/>
      <c r="BA307" s="299"/>
      <c r="BB307" s="242"/>
      <c r="BC307" s="299"/>
    </row>
    <row r="308" s="125" customFormat="1" customHeight="1" spans="1:89">
      <c r="A308" s="125">
        <v>255</v>
      </c>
      <c r="B308" s="154"/>
      <c r="C308" s="168">
        <v>45446</v>
      </c>
      <c r="D308" s="294" t="s">
        <v>4709</v>
      </c>
      <c r="F308" s="295" t="s">
        <v>4710</v>
      </c>
      <c r="G308" s="175" t="s">
        <v>4711</v>
      </c>
      <c r="H308" s="1040" t="s">
        <v>4712</v>
      </c>
      <c r="I308" s="284" t="s">
        <v>4713</v>
      </c>
      <c r="J308" s="125">
        <v>126.9</v>
      </c>
      <c r="K308" s="125">
        <v>126.9</v>
      </c>
      <c r="L308" s="125">
        <v>5764.1</v>
      </c>
      <c r="M308" s="325">
        <v>731464</v>
      </c>
      <c r="N308" s="326">
        <v>5764.1</v>
      </c>
      <c r="O308" s="327">
        <v>671067.89</v>
      </c>
      <c r="P308" s="294" t="s">
        <v>4714</v>
      </c>
      <c r="Q308" s="328">
        <v>45881</v>
      </c>
      <c r="R308" s="223"/>
      <c r="S308" s="224"/>
      <c r="T308" s="292" t="s">
        <v>4715</v>
      </c>
      <c r="U308" s="286" t="s">
        <v>4716</v>
      </c>
      <c r="V308" s="223">
        <f>10000-10000</f>
        <v>0</v>
      </c>
      <c r="W308" s="286" t="s">
        <v>2067</v>
      </c>
      <c r="X308" s="223">
        <f>10000-10000</f>
        <v>0</v>
      </c>
      <c r="Y308" s="224" t="s">
        <v>1881</v>
      </c>
      <c r="Z308" s="223">
        <v>20000</v>
      </c>
      <c r="AA308" s="224" t="s">
        <v>4200</v>
      </c>
      <c r="AB308" s="223">
        <f>126464+15000</f>
        <v>141464</v>
      </c>
      <c r="AC308" s="224" t="s">
        <v>3675</v>
      </c>
      <c r="AD308" s="223">
        <v>570000</v>
      </c>
      <c r="AE308" s="224" t="s">
        <v>640</v>
      </c>
      <c r="AH308" s="223">
        <f t="shared" si="38"/>
        <v>731464</v>
      </c>
      <c r="AK308" s="171">
        <f t="shared" si="44"/>
        <v>0</v>
      </c>
      <c r="AL308" s="295" t="s">
        <v>4717</v>
      </c>
      <c r="AM308" s="329"/>
      <c r="AN308" s="330"/>
      <c r="AO308" s="125">
        <f t="shared" si="39"/>
        <v>731464</v>
      </c>
      <c r="AP308" s="166">
        <f>0.7%+0.08%</f>
        <v>0.0078</v>
      </c>
      <c r="AQ308" s="283">
        <f t="shared" si="40"/>
        <v>200</v>
      </c>
      <c r="AR308" s="223"/>
      <c r="AS308" s="223"/>
      <c r="AT308" s="223"/>
      <c r="AU308" s="223"/>
      <c r="AV308" s="223">
        <v>200</v>
      </c>
      <c r="AW308" s="223"/>
      <c r="AX308" s="223"/>
      <c r="AY308" s="223"/>
      <c r="AZ308" s="223"/>
      <c r="BA308" s="300"/>
      <c r="BB308" s="223"/>
      <c r="BC308" s="300"/>
      <c r="BJ308" s="125">
        <v>161464</v>
      </c>
      <c r="BL308" s="125">
        <v>570000</v>
      </c>
      <c r="CI308" s="125" t="s">
        <v>260</v>
      </c>
      <c r="CJ308" s="125" t="s">
        <v>271</v>
      </c>
      <c r="CK308" s="125" t="s">
        <v>261</v>
      </c>
    </row>
    <row r="309" s="154" customFormat="1" customHeight="1" spans="1:89">
      <c r="A309" s="154">
        <v>256</v>
      </c>
      <c r="B309" s="154"/>
      <c r="C309" s="179">
        <v>46056</v>
      </c>
      <c r="D309" s="154">
        <v>20260000672</v>
      </c>
      <c r="F309" s="341" t="s">
        <v>4718</v>
      </c>
      <c r="G309" s="154" t="s">
        <v>4719</v>
      </c>
      <c r="H309" s="1043" t="s">
        <v>4720</v>
      </c>
      <c r="I309" s="342" t="s">
        <v>4721</v>
      </c>
      <c r="J309" s="154">
        <v>126.5</v>
      </c>
      <c r="K309" s="154">
        <v>126.5</v>
      </c>
      <c r="L309" s="154">
        <v>5106.72</v>
      </c>
      <c r="M309" s="343">
        <v>646000</v>
      </c>
      <c r="N309" s="344">
        <v>5106.72</v>
      </c>
      <c r="O309" s="345">
        <v>592660.55</v>
      </c>
      <c r="P309" s="346" t="s">
        <v>4722</v>
      </c>
      <c r="Q309" s="347">
        <v>46093</v>
      </c>
      <c r="R309" s="304"/>
      <c r="S309" s="306"/>
      <c r="T309" s="348"/>
      <c r="U309" s="349" t="s">
        <v>3404</v>
      </c>
      <c r="V309" s="304">
        <v>10000</v>
      </c>
      <c r="W309" s="306">
        <v>45957</v>
      </c>
      <c r="X309" s="304">
        <v>87000</v>
      </c>
      <c r="Y309" s="306">
        <v>46056</v>
      </c>
      <c r="AB309" s="304"/>
      <c r="AH309" s="304">
        <f t="shared" si="38"/>
        <v>97000</v>
      </c>
      <c r="AK309" s="307">
        <f t="shared" si="44"/>
        <v>549000</v>
      </c>
      <c r="AL309" s="341"/>
      <c r="AM309" s="350" t="s">
        <v>3362</v>
      </c>
      <c r="AN309" s="351"/>
      <c r="AO309" s="154">
        <f t="shared" si="39"/>
        <v>97000</v>
      </c>
      <c r="AP309" s="309">
        <f>0.7%+0.08%+0.03%</f>
        <v>0.0081</v>
      </c>
      <c r="AQ309" s="310">
        <f t="shared" si="40"/>
        <v>0</v>
      </c>
      <c r="AR309" s="304"/>
      <c r="AS309" s="304"/>
      <c r="AT309" s="304"/>
      <c r="AU309" s="304"/>
      <c r="AV309" s="304"/>
      <c r="AW309" s="304"/>
      <c r="AX309" s="304"/>
      <c r="AY309" s="304"/>
      <c r="AZ309" s="304"/>
      <c r="BA309" s="311"/>
      <c r="BB309" s="304"/>
      <c r="BC309" s="311"/>
      <c r="CD309" s="154">
        <v>97000</v>
      </c>
      <c r="CI309" s="125" t="s">
        <v>260</v>
      </c>
      <c r="CK309" s="154" t="s">
        <v>4723</v>
      </c>
    </row>
    <row r="310" s="125" customFormat="1" customHeight="1" spans="1:89">
      <c r="A310" s="125">
        <v>257</v>
      </c>
      <c r="C310" s="168">
        <v>45198</v>
      </c>
      <c r="D310" s="294" t="s">
        <v>4724</v>
      </c>
      <c r="F310" s="295" t="s">
        <v>4725</v>
      </c>
      <c r="G310" s="125" t="s">
        <v>4726</v>
      </c>
      <c r="H310" s="1037" t="s">
        <v>4727</v>
      </c>
      <c r="I310" s="284" t="s">
        <v>4728</v>
      </c>
      <c r="J310" s="125">
        <v>126.9</v>
      </c>
      <c r="K310" s="125">
        <v>126.9</v>
      </c>
      <c r="L310" s="125">
        <v>5800</v>
      </c>
      <c r="M310" s="325">
        <v>736020</v>
      </c>
      <c r="N310" s="326">
        <f>5808.38-8.38</f>
        <v>5800</v>
      </c>
      <c r="O310" s="165">
        <v>675247.71</v>
      </c>
      <c r="P310" s="294" t="s">
        <v>4729</v>
      </c>
      <c r="Q310" s="328">
        <v>45881</v>
      </c>
      <c r="R310" s="223"/>
      <c r="S310" s="224"/>
      <c r="T310" s="174"/>
      <c r="U310" s="224" t="s">
        <v>277</v>
      </c>
      <c r="V310" s="223">
        <v>20000</v>
      </c>
      <c r="W310" s="224" t="s">
        <v>455</v>
      </c>
      <c r="X310" s="223">
        <v>201020</v>
      </c>
      <c r="Y310" s="224" t="s">
        <v>314</v>
      </c>
      <c r="Z310" s="223">
        <v>515000</v>
      </c>
      <c r="AA310" s="224" t="s">
        <v>525</v>
      </c>
      <c r="AB310" s="223"/>
      <c r="AH310" s="223">
        <f t="shared" si="38"/>
        <v>736020</v>
      </c>
      <c r="AK310" s="171">
        <f t="shared" si="44"/>
        <v>0</v>
      </c>
      <c r="AL310" s="295" t="s">
        <v>4730</v>
      </c>
      <c r="AM310" s="329"/>
      <c r="AN310" s="330"/>
      <c r="AO310" s="125">
        <f t="shared" si="39"/>
        <v>736020</v>
      </c>
      <c r="AP310" s="166">
        <f>0.4%+0.04%+0.12%</f>
        <v>0.0056</v>
      </c>
      <c r="AQ310" s="283">
        <f t="shared" si="40"/>
        <v>0</v>
      </c>
      <c r="AR310" s="223"/>
      <c r="AS310" s="223"/>
      <c r="AT310" s="223"/>
      <c r="AU310" s="223"/>
      <c r="AV310" s="223"/>
      <c r="AW310" s="223"/>
      <c r="AX310" s="223"/>
      <c r="AY310" s="223"/>
      <c r="AZ310" s="223"/>
      <c r="BA310" s="300"/>
      <c r="BB310" s="223">
        <v>221020</v>
      </c>
      <c r="BC310" s="300"/>
      <c r="BD310" s="125">
        <v>515000</v>
      </c>
      <c r="CI310" s="125" t="s">
        <v>260</v>
      </c>
      <c r="CJ310" s="125" t="s">
        <v>271</v>
      </c>
      <c r="CK310" s="125" t="s">
        <v>261</v>
      </c>
    </row>
    <row r="311" s="125" customFormat="1" customHeight="1" spans="1:89">
      <c r="A311" s="125">
        <v>258</v>
      </c>
      <c r="C311" s="168">
        <v>45202</v>
      </c>
      <c r="D311" s="294" t="s">
        <v>4731</v>
      </c>
      <c r="F311" s="295" t="s">
        <v>4732</v>
      </c>
      <c r="G311" s="292" t="s">
        <v>4733</v>
      </c>
      <c r="H311" s="1040" t="s">
        <v>4734</v>
      </c>
      <c r="I311" s="281" t="s">
        <v>4735</v>
      </c>
      <c r="J311" s="125">
        <v>126.5</v>
      </c>
      <c r="K311" s="125">
        <v>126.5</v>
      </c>
      <c r="L311" s="125">
        <v>5850</v>
      </c>
      <c r="M311" s="325">
        <v>740026</v>
      </c>
      <c r="N311" s="326">
        <v>5808.38</v>
      </c>
      <c r="O311" s="165">
        <v>678922.94</v>
      </c>
      <c r="P311" s="294" t="s">
        <v>4736</v>
      </c>
      <c r="Q311" s="328">
        <v>45881</v>
      </c>
      <c r="R311" s="223"/>
      <c r="S311" s="286"/>
      <c r="T311" s="292"/>
      <c r="U311" s="286" t="s">
        <v>277</v>
      </c>
      <c r="V311" s="223">
        <v>20000</v>
      </c>
      <c r="W311" s="286" t="s">
        <v>1782</v>
      </c>
      <c r="X311" s="223">
        <v>419967</v>
      </c>
      <c r="Y311" s="286" t="s">
        <v>447</v>
      </c>
      <c r="Z311" s="125">
        <v>300000</v>
      </c>
      <c r="AA311" s="125" t="s">
        <v>2797</v>
      </c>
      <c r="AB311" s="223">
        <v>59</v>
      </c>
      <c r="AC311" s="286" t="s">
        <v>3252</v>
      </c>
      <c r="AH311" s="223">
        <f t="shared" si="38"/>
        <v>740026</v>
      </c>
      <c r="AK311" s="171">
        <f t="shared" si="44"/>
        <v>0</v>
      </c>
      <c r="AL311" s="295" t="s">
        <v>4737</v>
      </c>
      <c r="AM311" s="329"/>
      <c r="AN311" s="330"/>
      <c r="AO311" s="125">
        <f t="shared" si="39"/>
        <v>739967</v>
      </c>
      <c r="AP311" s="166">
        <f>0.4%+0.05%+0.12%</f>
        <v>0.0057</v>
      </c>
      <c r="AQ311" s="283">
        <f t="shared" si="40"/>
        <v>0</v>
      </c>
      <c r="AR311" s="223"/>
      <c r="AS311" s="223"/>
      <c r="AT311" s="223"/>
      <c r="AU311" s="223"/>
      <c r="AV311" s="223"/>
      <c r="AW311" s="223"/>
      <c r="AX311" s="223"/>
      <c r="AY311" s="223"/>
      <c r="AZ311" s="223"/>
      <c r="BA311" s="300"/>
      <c r="BB311" s="223">
        <v>739967</v>
      </c>
      <c r="BC311" s="300"/>
      <c r="CI311" s="125" t="s">
        <v>260</v>
      </c>
      <c r="CJ311" s="125" t="s">
        <v>271</v>
      </c>
      <c r="CK311" s="125" t="s">
        <v>261</v>
      </c>
    </row>
    <row r="312" s="125" customFormat="1" customHeight="1" spans="1:89">
      <c r="A312" s="125">
        <v>259</v>
      </c>
      <c r="C312" s="168">
        <v>45200</v>
      </c>
      <c r="D312" s="294" t="s">
        <v>4738</v>
      </c>
      <c r="F312" s="295" t="s">
        <v>4739</v>
      </c>
      <c r="G312" s="175" t="s">
        <v>4740</v>
      </c>
      <c r="H312" s="1040" t="s">
        <v>4741</v>
      </c>
      <c r="I312" s="284" t="s">
        <v>4742</v>
      </c>
      <c r="J312" s="125">
        <v>126.9</v>
      </c>
      <c r="K312" s="125">
        <v>126.9</v>
      </c>
      <c r="L312" s="125">
        <v>5844.38</v>
      </c>
      <c r="M312" s="325">
        <v>741652</v>
      </c>
      <c r="N312" s="326">
        <v>5844.38</v>
      </c>
      <c r="O312" s="165">
        <v>680414.68</v>
      </c>
      <c r="P312" s="294" t="s">
        <v>4743</v>
      </c>
      <c r="Q312" s="328">
        <v>45882</v>
      </c>
      <c r="R312" s="223"/>
      <c r="S312" s="224"/>
      <c r="T312" s="174"/>
      <c r="U312" s="224" t="s">
        <v>284</v>
      </c>
      <c r="V312" s="223">
        <v>20000</v>
      </c>
      <c r="W312" s="224" t="s">
        <v>455</v>
      </c>
      <c r="X312" s="223">
        <f>80000+51652</f>
        <v>131652</v>
      </c>
      <c r="Y312" s="224" t="s">
        <v>314</v>
      </c>
      <c r="Z312" s="223">
        <v>590000</v>
      </c>
      <c r="AA312" s="224" t="s">
        <v>4744</v>
      </c>
      <c r="AB312" s="223"/>
      <c r="AH312" s="223">
        <f t="shared" si="38"/>
        <v>741652</v>
      </c>
      <c r="AK312" s="171">
        <f t="shared" si="44"/>
        <v>0</v>
      </c>
      <c r="AL312" s="295" t="s">
        <v>4745</v>
      </c>
      <c r="AM312" s="329"/>
      <c r="AN312" s="330"/>
      <c r="AO312" s="125">
        <f t="shared" si="39"/>
        <v>741652</v>
      </c>
      <c r="AP312" s="166">
        <f>0.4%+0.02%+0.12%</f>
        <v>0.0054</v>
      </c>
      <c r="AQ312" s="283">
        <f t="shared" si="40"/>
        <v>0</v>
      </c>
      <c r="AR312" s="223"/>
      <c r="AS312" s="223"/>
      <c r="AT312" s="223"/>
      <c r="AU312" s="223"/>
      <c r="AV312" s="223"/>
      <c r="AW312" s="223"/>
      <c r="AX312" s="223"/>
      <c r="AY312" s="223"/>
      <c r="AZ312" s="223"/>
      <c r="BA312" s="300"/>
      <c r="BB312" s="223">
        <v>151652</v>
      </c>
      <c r="BC312" s="300"/>
      <c r="BD312" s="125">
        <v>590000</v>
      </c>
      <c r="CI312" s="125" t="s">
        <v>260</v>
      </c>
      <c r="CJ312" s="125" t="s">
        <v>271</v>
      </c>
      <c r="CK312" s="125" t="s">
        <v>261</v>
      </c>
    </row>
    <row r="313" s="125" customFormat="1" customHeight="1" spans="1:89">
      <c r="A313" s="125">
        <v>260</v>
      </c>
      <c r="C313" s="168">
        <v>45223</v>
      </c>
      <c r="D313" s="294" t="s">
        <v>4746</v>
      </c>
      <c r="F313" s="295" t="s">
        <v>4747</v>
      </c>
      <c r="G313" s="175" t="s">
        <v>4748</v>
      </c>
      <c r="H313" s="175"/>
      <c r="I313" s="281" t="s">
        <v>4749</v>
      </c>
      <c r="J313" s="125">
        <v>126.5</v>
      </c>
      <c r="K313" s="125">
        <v>126.5</v>
      </c>
      <c r="L313" s="125">
        <v>5838.38</v>
      </c>
      <c r="M313" s="325">
        <v>738555</v>
      </c>
      <c r="N313" s="326">
        <v>5838.38</v>
      </c>
      <c r="O313" s="165">
        <v>677573.39</v>
      </c>
      <c r="P313" s="294" t="s">
        <v>4750</v>
      </c>
      <c r="Q313" s="328">
        <v>45882</v>
      </c>
      <c r="R313" s="223"/>
      <c r="S313" s="224"/>
      <c r="T313" s="292"/>
      <c r="U313" s="286" t="s">
        <v>284</v>
      </c>
      <c r="V313" s="223">
        <v>20000</v>
      </c>
      <c r="W313" s="224" t="s">
        <v>2797</v>
      </c>
      <c r="X313" s="223">
        <v>128497</v>
      </c>
      <c r="Y313" s="336" t="s">
        <v>847</v>
      </c>
      <c r="Z313" s="223">
        <v>590000</v>
      </c>
      <c r="AA313" s="224" t="s">
        <v>534</v>
      </c>
      <c r="AB313" s="223">
        <v>58</v>
      </c>
      <c r="AC313" s="224" t="s">
        <v>3252</v>
      </c>
      <c r="AH313" s="223">
        <f t="shared" si="38"/>
        <v>738555</v>
      </c>
      <c r="AK313" s="171">
        <f t="shared" si="44"/>
        <v>0</v>
      </c>
      <c r="AL313" s="295"/>
      <c r="AM313" s="329"/>
      <c r="AN313" s="330"/>
      <c r="AO313" s="125">
        <f t="shared" si="39"/>
        <v>738497</v>
      </c>
      <c r="AP313" s="166">
        <f>0.4%+0.02%+0.08%</f>
        <v>0.005</v>
      </c>
      <c r="AQ313" s="283">
        <f t="shared" si="40"/>
        <v>300</v>
      </c>
      <c r="AR313" s="223"/>
      <c r="AS313" s="223"/>
      <c r="AT313" s="223"/>
      <c r="AU313" s="223">
        <v>100</v>
      </c>
      <c r="AV313" s="223">
        <v>200</v>
      </c>
      <c r="AW313" s="223"/>
      <c r="AX313" s="223"/>
      <c r="AY313" s="223"/>
      <c r="AZ313" s="223"/>
      <c r="BA313" s="300"/>
      <c r="BB313" s="223">
        <v>148497</v>
      </c>
      <c r="BC313" s="300"/>
      <c r="BD313" s="125">
        <v>590000</v>
      </c>
      <c r="CI313" s="125" t="s">
        <v>260</v>
      </c>
      <c r="CJ313" s="125" t="s">
        <v>271</v>
      </c>
      <c r="CK313" s="125" t="s">
        <v>261</v>
      </c>
    </row>
    <row r="314" s="125" customFormat="1" customHeight="1" spans="1:89">
      <c r="A314" s="125">
        <v>261</v>
      </c>
      <c r="C314" s="168">
        <v>45151</v>
      </c>
      <c r="D314" s="294" t="s">
        <v>4751</v>
      </c>
      <c r="F314" s="295" t="s">
        <v>4752</v>
      </c>
      <c r="G314" s="125" t="s">
        <v>4753</v>
      </c>
      <c r="H314" s="1037" t="s">
        <v>4754</v>
      </c>
      <c r="I314" s="284" t="s">
        <v>4755</v>
      </c>
      <c r="J314" s="125">
        <v>126.9</v>
      </c>
      <c r="K314" s="125">
        <v>126.9</v>
      </c>
      <c r="L314" s="125">
        <v>5864.38</v>
      </c>
      <c r="M314" s="325">
        <v>744190</v>
      </c>
      <c r="N314" s="326">
        <f>5914.38-50</f>
        <v>5864.38</v>
      </c>
      <c r="O314" s="165">
        <v>682743.12</v>
      </c>
      <c r="P314" s="294" t="s">
        <v>4756</v>
      </c>
      <c r="Q314" s="328">
        <v>45882</v>
      </c>
      <c r="R314" s="223"/>
      <c r="S314" s="224"/>
      <c r="T314" s="174"/>
      <c r="U314" s="125" t="s">
        <v>408</v>
      </c>
      <c r="V314" s="223">
        <v>20000</v>
      </c>
      <c r="W314" s="168" t="s">
        <v>1622</v>
      </c>
      <c r="X314" s="223">
        <f>200000+238190+36000</f>
        <v>474190</v>
      </c>
      <c r="Y314" s="224" t="s">
        <v>917</v>
      </c>
      <c r="Z314" s="223">
        <v>250000</v>
      </c>
      <c r="AA314" s="224" t="s">
        <v>2291</v>
      </c>
      <c r="AB314" s="223"/>
      <c r="AH314" s="223">
        <f t="shared" si="38"/>
        <v>744190</v>
      </c>
      <c r="AK314" s="171">
        <f t="shared" si="44"/>
        <v>0</v>
      </c>
      <c r="AL314" s="295" t="s">
        <v>4757</v>
      </c>
      <c r="AM314" s="329"/>
      <c r="AN314" s="330"/>
      <c r="AO314" s="125">
        <f t="shared" si="39"/>
        <v>744190</v>
      </c>
      <c r="AP314" s="166">
        <f>0.5%+0.04%+0.14%</f>
        <v>0.0068</v>
      </c>
      <c r="AQ314" s="283">
        <f t="shared" si="40"/>
        <v>0</v>
      </c>
      <c r="AR314" s="223"/>
      <c r="AS314" s="223"/>
      <c r="AT314" s="223"/>
      <c r="AU314" s="223"/>
      <c r="AV314" s="223"/>
      <c r="AW314" s="223"/>
      <c r="AX314" s="223"/>
      <c r="AY314" s="223"/>
      <c r="AZ314" s="223">
        <v>494190</v>
      </c>
      <c r="BA314" s="300"/>
      <c r="BB314" s="223"/>
      <c r="BC314" s="300">
        <v>250000</v>
      </c>
      <c r="CI314" s="125" t="s">
        <v>260</v>
      </c>
      <c r="CJ314" s="125" t="s">
        <v>271</v>
      </c>
      <c r="CK314" s="125" t="s">
        <v>261</v>
      </c>
    </row>
    <row r="315" s="125" customFormat="1" customHeight="1" spans="1:89">
      <c r="A315" s="125">
        <v>262</v>
      </c>
      <c r="C315" s="168">
        <v>45204</v>
      </c>
      <c r="D315" s="294" t="s">
        <v>4758</v>
      </c>
      <c r="F315" s="295" t="s">
        <v>4759</v>
      </c>
      <c r="G315" s="175" t="s">
        <v>4760</v>
      </c>
      <c r="H315" s="1037" t="s">
        <v>4761</v>
      </c>
      <c r="I315" s="281" t="s">
        <v>4762</v>
      </c>
      <c r="J315" s="125">
        <v>126.5</v>
      </c>
      <c r="K315" s="125">
        <v>126.5</v>
      </c>
      <c r="L315" s="125">
        <v>5858.38</v>
      </c>
      <c r="M315" s="325">
        <v>741086</v>
      </c>
      <c r="N315" s="326">
        <f>5908.38-50</f>
        <v>5858.38</v>
      </c>
      <c r="O315" s="165">
        <v>679895.41</v>
      </c>
      <c r="P315" s="294" t="s">
        <v>4763</v>
      </c>
      <c r="Q315" s="328">
        <v>45883</v>
      </c>
      <c r="R315" s="223"/>
      <c r="S315" s="224"/>
      <c r="T315" s="1039" t="s">
        <v>1895</v>
      </c>
      <c r="U315" s="286" t="s">
        <v>930</v>
      </c>
      <c r="V315" s="223">
        <f>10000</f>
        <v>10000</v>
      </c>
      <c r="W315" s="286" t="s">
        <v>4764</v>
      </c>
      <c r="X315" s="223">
        <f>10000+151027</f>
        <v>161027</v>
      </c>
      <c r="Y315" s="224" t="s">
        <v>917</v>
      </c>
      <c r="Z315" s="223">
        <v>130000</v>
      </c>
      <c r="AA315" s="224" t="s">
        <v>1500</v>
      </c>
      <c r="AB315" s="223">
        <v>440000</v>
      </c>
      <c r="AC315" s="224" t="s">
        <v>4765</v>
      </c>
      <c r="AD315" s="223">
        <v>59</v>
      </c>
      <c r="AE315" s="224" t="s">
        <v>3252</v>
      </c>
      <c r="AH315" s="223">
        <f t="shared" si="38"/>
        <v>741086</v>
      </c>
      <c r="AK315" s="171">
        <f t="shared" si="44"/>
        <v>0</v>
      </c>
      <c r="AL315" s="295" t="s">
        <v>4766</v>
      </c>
      <c r="AM315" s="329"/>
      <c r="AN315" s="330"/>
      <c r="AO315" s="125">
        <f t="shared" si="39"/>
        <v>741027</v>
      </c>
      <c r="AP315" s="166">
        <f>0.7%+0.14%</f>
        <v>0.0084</v>
      </c>
      <c r="AQ315" s="283">
        <f t="shared" si="40"/>
        <v>300</v>
      </c>
      <c r="AR315" s="283"/>
      <c r="AS315" s="223">
        <v>100</v>
      </c>
      <c r="AT315" s="223"/>
      <c r="AU315" s="223"/>
      <c r="AV315" s="223">
        <v>200</v>
      </c>
      <c r="AW315" s="223"/>
      <c r="AX315" s="223"/>
      <c r="AY315" s="223"/>
      <c r="AZ315" s="223"/>
      <c r="BB315" s="223"/>
      <c r="BC315" s="125">
        <v>301027</v>
      </c>
      <c r="BD315" s="125">
        <v>440000</v>
      </c>
      <c r="CI315" s="125" t="s">
        <v>260</v>
      </c>
      <c r="CJ315" s="125" t="s">
        <v>271</v>
      </c>
      <c r="CK315" s="125" t="s">
        <v>261</v>
      </c>
    </row>
    <row r="316" s="125" customFormat="1" customHeight="1" spans="1:89">
      <c r="A316" s="125">
        <v>263</v>
      </c>
      <c r="C316" s="168">
        <v>45270</v>
      </c>
      <c r="D316" s="294" t="s">
        <v>4767</v>
      </c>
      <c r="F316" s="295" t="s">
        <v>4768</v>
      </c>
      <c r="G316" s="125" t="s">
        <v>4769</v>
      </c>
      <c r="H316" s="1037" t="s">
        <v>3323</v>
      </c>
      <c r="I316" s="284" t="s">
        <v>4770</v>
      </c>
      <c r="J316" s="125">
        <v>126.9</v>
      </c>
      <c r="K316" s="125">
        <v>126.9</v>
      </c>
      <c r="L316" s="125">
        <v>5980</v>
      </c>
      <c r="M316" s="325">
        <f>K316*L316</f>
        <v>758862</v>
      </c>
      <c r="N316" s="326">
        <v>5979.38</v>
      </c>
      <c r="O316" s="165">
        <v>696203.67</v>
      </c>
      <c r="P316" s="294" t="s">
        <v>4771</v>
      </c>
      <c r="Q316" s="328">
        <v>45883</v>
      </c>
      <c r="R316" s="223"/>
      <c r="S316" s="224"/>
      <c r="T316" s="174"/>
      <c r="U316" s="224" t="s">
        <v>546</v>
      </c>
      <c r="V316" s="223">
        <v>20000</v>
      </c>
      <c r="W316" s="224" t="s">
        <v>1782</v>
      </c>
      <c r="X316" s="223">
        <v>238862</v>
      </c>
      <c r="Y316" s="224" t="s">
        <v>4772</v>
      </c>
      <c r="Z316" s="223">
        <v>500000</v>
      </c>
      <c r="AA316" s="224" t="s">
        <v>624</v>
      </c>
      <c r="AB316" s="223"/>
      <c r="AH316" s="223">
        <f t="shared" si="38"/>
        <v>758862</v>
      </c>
      <c r="AK316" s="171">
        <f t="shared" si="44"/>
        <v>0</v>
      </c>
      <c r="AL316" s="295" t="s">
        <v>4773</v>
      </c>
      <c r="AM316" s="329"/>
      <c r="AN316" s="330"/>
      <c r="AO316" s="125">
        <f t="shared" si="39"/>
        <v>758862</v>
      </c>
      <c r="AP316" s="166">
        <f>0.7%+0.12%</f>
        <v>0.0082</v>
      </c>
      <c r="AQ316" s="283">
        <f t="shared" si="40"/>
        <v>100</v>
      </c>
      <c r="AR316" s="283">
        <v>100</v>
      </c>
      <c r="AS316" s="223"/>
      <c r="AT316" s="223"/>
      <c r="AU316" s="223"/>
      <c r="AV316" s="223"/>
      <c r="AW316" s="223"/>
      <c r="AX316" s="223"/>
      <c r="AY316" s="223"/>
      <c r="AZ316" s="223"/>
      <c r="BA316" s="300"/>
      <c r="BB316" s="223"/>
      <c r="BC316" s="300"/>
      <c r="BD316" s="125">
        <v>258862</v>
      </c>
      <c r="BE316" s="125">
        <v>500000</v>
      </c>
      <c r="CI316" s="125" t="s">
        <v>260</v>
      </c>
      <c r="CJ316" s="125" t="s">
        <v>271</v>
      </c>
      <c r="CK316" s="125" t="s">
        <v>261</v>
      </c>
    </row>
    <row r="317" s="125" customFormat="1" customHeight="1" spans="1:89">
      <c r="A317" s="125">
        <v>264</v>
      </c>
      <c r="C317" s="168">
        <v>45149</v>
      </c>
      <c r="D317" s="294" t="s">
        <v>4774</v>
      </c>
      <c r="F317" s="295" t="s">
        <v>4775</v>
      </c>
      <c r="G317" s="175" t="s">
        <v>1193</v>
      </c>
      <c r="H317" s="1040" t="s">
        <v>4776</v>
      </c>
      <c r="I317" s="281" t="s">
        <v>4777</v>
      </c>
      <c r="J317" s="125">
        <v>126.5</v>
      </c>
      <c r="K317" s="125">
        <v>126.5</v>
      </c>
      <c r="L317" s="125">
        <v>5923.38</v>
      </c>
      <c r="M317" s="325">
        <v>749307</v>
      </c>
      <c r="N317" s="326">
        <f>5973.38-50</f>
        <v>5923.38</v>
      </c>
      <c r="O317" s="165">
        <v>687437.61</v>
      </c>
      <c r="P317" s="294" t="s">
        <v>4778</v>
      </c>
      <c r="Q317" s="328">
        <v>45883</v>
      </c>
      <c r="R317" s="223"/>
      <c r="S317" s="286"/>
      <c r="T317" s="1039" t="s">
        <v>2864</v>
      </c>
      <c r="U317" s="286" t="s">
        <v>277</v>
      </c>
      <c r="V317" s="223">
        <v>10000</v>
      </c>
      <c r="W317" s="286" t="s">
        <v>2924</v>
      </c>
      <c r="X317" s="223">
        <f>90000+100248</f>
        <v>190248</v>
      </c>
      <c r="Y317" s="286" t="s">
        <v>917</v>
      </c>
      <c r="Z317" s="223">
        <v>549000</v>
      </c>
      <c r="AA317" s="286" t="s">
        <v>1550</v>
      </c>
      <c r="AB317" s="223">
        <v>59</v>
      </c>
      <c r="AC317" s="286" t="s">
        <v>3252</v>
      </c>
      <c r="AH317" s="223">
        <f t="shared" si="38"/>
        <v>749307</v>
      </c>
      <c r="AK317" s="171">
        <f t="shared" si="44"/>
        <v>0</v>
      </c>
      <c r="AL317" s="295" t="s">
        <v>4779</v>
      </c>
      <c r="AM317" s="329"/>
      <c r="AN317" s="330"/>
      <c r="AO317" s="125">
        <f t="shared" si="39"/>
        <v>749248</v>
      </c>
      <c r="AP317" s="166">
        <f>0.5%+0.05%+0.14%</f>
        <v>0.0069</v>
      </c>
      <c r="AQ317" s="283">
        <f t="shared" si="40"/>
        <v>300</v>
      </c>
      <c r="AR317" s="223"/>
      <c r="AS317" s="223"/>
      <c r="AT317" s="223">
        <v>100</v>
      </c>
      <c r="AU317" s="223"/>
      <c r="AV317" s="223">
        <v>200</v>
      </c>
      <c r="AW317" s="223"/>
      <c r="AX317" s="223"/>
      <c r="AY317" s="223"/>
      <c r="AZ317" s="223">
        <v>200248</v>
      </c>
      <c r="BA317" s="300"/>
      <c r="BB317" s="223"/>
      <c r="BC317" s="300">
        <v>549000</v>
      </c>
      <c r="CI317" s="125" t="s">
        <v>260</v>
      </c>
      <c r="CJ317" s="125" t="s">
        <v>271</v>
      </c>
      <c r="CK317" s="125" t="s">
        <v>261</v>
      </c>
    </row>
    <row r="318" s="125" customFormat="1" customHeight="1" spans="1:89">
      <c r="A318" s="125">
        <v>265</v>
      </c>
      <c r="C318" s="168">
        <v>45154</v>
      </c>
      <c r="D318" s="294" t="s">
        <v>4780</v>
      </c>
      <c r="F318" s="295" t="s">
        <v>4781</v>
      </c>
      <c r="G318" s="175" t="s">
        <v>4782</v>
      </c>
      <c r="H318" s="1040" t="s">
        <v>4783</v>
      </c>
      <c r="I318" s="284" t="s">
        <v>4784</v>
      </c>
      <c r="J318" s="125">
        <v>126.9</v>
      </c>
      <c r="K318" s="125">
        <v>126.9</v>
      </c>
      <c r="L318" s="125">
        <v>6024.38</v>
      </c>
      <c r="M318" s="325">
        <v>764494</v>
      </c>
      <c r="N318" s="326">
        <v>6024.38</v>
      </c>
      <c r="O318" s="165">
        <v>701370.64</v>
      </c>
      <c r="P318" s="294" t="s">
        <v>4785</v>
      </c>
      <c r="Q318" s="328">
        <v>45883</v>
      </c>
      <c r="R318" s="223"/>
      <c r="S318" s="286"/>
      <c r="T318" s="292" t="s">
        <v>4786</v>
      </c>
      <c r="U318" s="286" t="s">
        <v>370</v>
      </c>
      <c r="V318" s="125">
        <v>20000</v>
      </c>
      <c r="W318" s="125" t="s">
        <v>4787</v>
      </c>
      <c r="X318" s="223">
        <v>134494</v>
      </c>
      <c r="Y318" s="336" t="s">
        <v>2622</v>
      </c>
      <c r="Z318" s="223">
        <v>610000</v>
      </c>
      <c r="AA318" s="286" t="s">
        <v>2291</v>
      </c>
      <c r="AB318" s="223"/>
      <c r="AC318" s="286"/>
      <c r="AH318" s="223">
        <f t="shared" si="38"/>
        <v>764494</v>
      </c>
      <c r="AK318" s="171">
        <f t="shared" si="44"/>
        <v>0</v>
      </c>
      <c r="AL318" s="295" t="s">
        <v>4788</v>
      </c>
      <c r="AM318" s="329"/>
      <c r="AN318" s="330"/>
      <c r="AO318" s="125">
        <f t="shared" si="39"/>
        <v>764494</v>
      </c>
      <c r="AP318" s="166">
        <f>0.6%+0.04%+0.12%</f>
        <v>0.0076</v>
      </c>
      <c r="AQ318" s="283">
        <f t="shared" si="40"/>
        <v>100</v>
      </c>
      <c r="AR318" s="283">
        <v>100</v>
      </c>
      <c r="AS318" s="223"/>
      <c r="AT318" s="223"/>
      <c r="AU318" s="223"/>
      <c r="AV318" s="223"/>
      <c r="AW318" s="223"/>
      <c r="AX318" s="223"/>
      <c r="AY318" s="223"/>
      <c r="AZ318" s="223">
        <v>154494</v>
      </c>
      <c r="BA318" s="300"/>
      <c r="BB318" s="223"/>
      <c r="BC318" s="300">
        <v>610000</v>
      </c>
      <c r="CI318" s="125" t="s">
        <v>260</v>
      </c>
      <c r="CJ318" s="125" t="s">
        <v>271</v>
      </c>
      <c r="CK318" s="125" t="s">
        <v>261</v>
      </c>
    </row>
    <row r="319" s="125" customFormat="1" customHeight="1" spans="1:89">
      <c r="A319" s="125">
        <v>266</v>
      </c>
      <c r="C319" s="168">
        <v>45270</v>
      </c>
      <c r="D319" s="294" t="s">
        <v>4789</v>
      </c>
      <c r="F319" s="295" t="s">
        <v>4790</v>
      </c>
      <c r="G319" s="175" t="s">
        <v>4791</v>
      </c>
      <c r="H319" s="1040" t="s">
        <v>3445</v>
      </c>
      <c r="I319" s="281" t="s">
        <v>4792</v>
      </c>
      <c r="J319" s="125">
        <v>126.5</v>
      </c>
      <c r="K319" s="125">
        <v>126.5</v>
      </c>
      <c r="L319" s="125">
        <v>6019</v>
      </c>
      <c r="M319" s="325">
        <v>761403</v>
      </c>
      <c r="N319" s="326">
        <v>6018.38</v>
      </c>
      <c r="O319" s="165">
        <v>698534.86</v>
      </c>
      <c r="P319" s="294" t="s">
        <v>4793</v>
      </c>
      <c r="Q319" s="328">
        <v>45883</v>
      </c>
      <c r="R319" s="223"/>
      <c r="S319" s="224"/>
      <c r="T319" s="292"/>
      <c r="U319" s="286" t="s">
        <v>546</v>
      </c>
      <c r="V319" s="223">
        <v>20000</v>
      </c>
      <c r="W319" s="224" t="s">
        <v>1782</v>
      </c>
      <c r="X319" s="223">
        <v>241343</v>
      </c>
      <c r="Y319" s="224" t="s">
        <v>4772</v>
      </c>
      <c r="Z319" s="223">
        <v>500000</v>
      </c>
      <c r="AA319" s="224" t="s">
        <v>624</v>
      </c>
      <c r="AB319" s="223">
        <v>60</v>
      </c>
      <c r="AC319" s="224" t="s">
        <v>2689</v>
      </c>
      <c r="AH319" s="223">
        <f t="shared" si="38"/>
        <v>761403</v>
      </c>
      <c r="AK319" s="171">
        <f t="shared" si="44"/>
        <v>0</v>
      </c>
      <c r="AL319" s="295" t="s">
        <v>4794</v>
      </c>
      <c r="AM319" s="329"/>
      <c r="AN319" s="330"/>
      <c r="AO319" s="125">
        <f t="shared" si="39"/>
        <v>761343</v>
      </c>
      <c r="AP319" s="166">
        <f>0.7%+0.12%</f>
        <v>0.0082</v>
      </c>
      <c r="AQ319" s="283">
        <f t="shared" si="40"/>
        <v>100</v>
      </c>
      <c r="AR319" s="283">
        <v>100</v>
      </c>
      <c r="AS319" s="223"/>
      <c r="AT319" s="223"/>
      <c r="AU319" s="223"/>
      <c r="AV319" s="223"/>
      <c r="AW319" s="223"/>
      <c r="AX319" s="223"/>
      <c r="AY319" s="223"/>
      <c r="AZ319" s="223"/>
      <c r="BA319" s="300"/>
      <c r="BB319" s="223"/>
      <c r="BC319" s="300"/>
      <c r="BD319" s="125">
        <v>261343</v>
      </c>
      <c r="BE319" s="125">
        <v>500000</v>
      </c>
      <c r="CI319" s="125" t="s">
        <v>260</v>
      </c>
      <c r="CJ319" s="125" t="s">
        <v>271</v>
      </c>
      <c r="CK319" s="125" t="s">
        <v>261</v>
      </c>
    </row>
    <row r="320" s="125" customFormat="1" customHeight="1" spans="1:89">
      <c r="A320" s="125">
        <v>267</v>
      </c>
      <c r="C320" s="168">
        <v>45148</v>
      </c>
      <c r="D320" s="294" t="s">
        <v>4795</v>
      </c>
      <c r="F320" s="295" t="s">
        <v>4796</v>
      </c>
      <c r="G320" s="175" t="s">
        <v>4797</v>
      </c>
      <c r="H320" s="1040" t="s">
        <v>4798</v>
      </c>
      <c r="I320" s="281" t="s">
        <v>4799</v>
      </c>
      <c r="J320" s="125">
        <v>126.9</v>
      </c>
      <c r="K320" s="125">
        <v>126.9</v>
      </c>
      <c r="L320" s="125">
        <v>5999.38</v>
      </c>
      <c r="M320" s="325">
        <v>761321</v>
      </c>
      <c r="N320" s="326">
        <f>6049.38-50</f>
        <v>5999.38</v>
      </c>
      <c r="O320" s="165">
        <v>698459.63</v>
      </c>
      <c r="P320" s="294" t="s">
        <v>4800</v>
      </c>
      <c r="Q320" s="328">
        <v>45883</v>
      </c>
      <c r="R320" s="223"/>
      <c r="S320" s="224"/>
      <c r="T320" s="1039" t="s">
        <v>1276</v>
      </c>
      <c r="U320" s="175" t="s">
        <v>294</v>
      </c>
      <c r="V320" s="223">
        <v>10000</v>
      </c>
      <c r="W320" s="224" t="s">
        <v>1653</v>
      </c>
      <c r="X320" s="223">
        <v>62321</v>
      </c>
      <c r="Y320" s="224" t="s">
        <v>1775</v>
      </c>
      <c r="Z320" s="125">
        <v>80000</v>
      </c>
      <c r="AA320" s="125" t="s">
        <v>3147</v>
      </c>
      <c r="AB320" s="223">
        <v>609000</v>
      </c>
      <c r="AC320" s="125" t="s">
        <v>1500</v>
      </c>
      <c r="AH320" s="223">
        <f t="shared" si="38"/>
        <v>761321</v>
      </c>
      <c r="AK320" s="171">
        <f t="shared" si="44"/>
        <v>0</v>
      </c>
      <c r="AL320" s="295" t="s">
        <v>4801</v>
      </c>
      <c r="AM320" s="329"/>
      <c r="AN320" s="330"/>
      <c r="AO320" s="125">
        <f t="shared" si="39"/>
        <v>761321</v>
      </c>
      <c r="AP320" s="166">
        <f>0.7%+0.05%+0.12%</f>
        <v>0.0087</v>
      </c>
      <c r="AQ320" s="283">
        <f t="shared" si="40"/>
        <v>300</v>
      </c>
      <c r="AR320" s="223"/>
      <c r="AS320" s="223"/>
      <c r="AT320" s="223"/>
      <c r="AU320" s="125">
        <v>100</v>
      </c>
      <c r="AV320" s="223"/>
      <c r="AW320" s="223">
        <v>200</v>
      </c>
      <c r="AX320" s="223"/>
      <c r="AY320" s="223"/>
      <c r="AZ320" s="223">
        <v>152321</v>
      </c>
      <c r="BA320" s="300"/>
      <c r="BB320" s="223"/>
      <c r="BC320" s="300"/>
      <c r="BD320" s="125">
        <v>609000</v>
      </c>
      <c r="CI320" s="125" t="s">
        <v>260</v>
      </c>
      <c r="CJ320" s="125" t="s">
        <v>271</v>
      </c>
      <c r="CK320" s="125" t="s">
        <v>261</v>
      </c>
    </row>
    <row r="321" s="125" customFormat="1" ht="51" customHeight="1" spans="1:89">
      <c r="A321" s="125">
        <v>268</v>
      </c>
      <c r="B321" s="125"/>
      <c r="C321" s="168">
        <v>45810</v>
      </c>
      <c r="D321" s="294" t="s">
        <v>4802</v>
      </c>
      <c r="F321" s="295" t="s">
        <v>4803</v>
      </c>
      <c r="G321" s="175" t="s">
        <v>4804</v>
      </c>
      <c r="H321" s="175"/>
      <c r="I321" s="352" t="s">
        <v>4805</v>
      </c>
      <c r="J321" s="125">
        <v>126.5</v>
      </c>
      <c r="K321" s="125">
        <v>126.5</v>
      </c>
      <c r="L321" s="174">
        <v>6000</v>
      </c>
      <c r="M321" s="325">
        <v>759000</v>
      </c>
      <c r="N321" s="326">
        <v>5999.53</v>
      </c>
      <c r="O321" s="327">
        <v>696330.28</v>
      </c>
      <c r="P321" s="294" t="s">
        <v>4806</v>
      </c>
      <c r="Q321" s="328">
        <v>45883</v>
      </c>
      <c r="R321" s="223"/>
      <c r="S321" s="224"/>
      <c r="T321" s="292"/>
      <c r="U321" s="224" t="s">
        <v>257</v>
      </c>
      <c r="V321" s="223">
        <f>10000-10000</f>
        <v>0</v>
      </c>
      <c r="W321" s="224" t="s">
        <v>2734</v>
      </c>
      <c r="X321" s="223">
        <v>20000</v>
      </c>
      <c r="Y321" s="224" t="s">
        <v>4807</v>
      </c>
      <c r="Z321" s="223">
        <v>20000</v>
      </c>
      <c r="AA321" s="224" t="s">
        <v>3232</v>
      </c>
      <c r="AB321" s="223">
        <v>288940</v>
      </c>
      <c r="AC321" s="125" t="s">
        <v>3577</v>
      </c>
      <c r="AD321" s="223">
        <v>60</v>
      </c>
      <c r="AE321" s="224">
        <v>45839</v>
      </c>
      <c r="AF321" s="125">
        <v>450000</v>
      </c>
      <c r="AG321" s="168">
        <v>45859</v>
      </c>
      <c r="AH321" s="223">
        <f t="shared" si="38"/>
        <v>779000</v>
      </c>
      <c r="AK321" s="171">
        <f t="shared" si="44"/>
        <v>-20000</v>
      </c>
      <c r="AL321" s="295" t="s">
        <v>4808</v>
      </c>
      <c r="AM321" s="329" t="s">
        <v>3496</v>
      </c>
      <c r="AN321" s="330"/>
      <c r="AO321" s="125">
        <f t="shared" si="39"/>
        <v>758940</v>
      </c>
      <c r="AP321" s="169">
        <f>0.7%+0.05%+0.08%+0.03%</f>
        <v>0.0086</v>
      </c>
      <c r="AQ321" s="283">
        <f t="shared" si="40"/>
        <v>100</v>
      </c>
      <c r="AR321" s="223"/>
      <c r="AS321" s="223">
        <v>100</v>
      </c>
      <c r="AT321" s="223"/>
      <c r="AU321" s="223"/>
      <c r="AV321" s="223"/>
      <c r="AW321" s="223"/>
      <c r="AX321" s="223"/>
      <c r="AY321" s="223"/>
      <c r="AZ321" s="223"/>
      <c r="BA321" s="300"/>
      <c r="BB321" s="223"/>
      <c r="BC321" s="300"/>
      <c r="BV321" s="125">
        <v>308940</v>
      </c>
      <c r="BW321" s="125">
        <v>450000</v>
      </c>
      <c r="CI321" s="125" t="s">
        <v>260</v>
      </c>
      <c r="CK321" s="125" t="s">
        <v>261</v>
      </c>
    </row>
    <row r="322" s="125" customFormat="1" customHeight="1" spans="1:89">
      <c r="A322" s="125">
        <v>269</v>
      </c>
      <c r="C322" s="168">
        <v>45199</v>
      </c>
      <c r="D322" s="294" t="s">
        <v>4809</v>
      </c>
      <c r="F322" s="329" t="s">
        <v>4810</v>
      </c>
      <c r="G322" s="175" t="s">
        <v>4811</v>
      </c>
      <c r="H322" s="175"/>
      <c r="I322" s="284" t="s">
        <v>4812</v>
      </c>
      <c r="J322" s="125">
        <v>126.9</v>
      </c>
      <c r="K322" s="125">
        <v>126.9</v>
      </c>
      <c r="L322" s="125">
        <v>6074.38</v>
      </c>
      <c r="M322" s="325">
        <v>770839</v>
      </c>
      <c r="N322" s="326">
        <v>6074.38</v>
      </c>
      <c r="O322" s="165">
        <v>707191.74</v>
      </c>
      <c r="P322" s="294" t="s">
        <v>4813</v>
      </c>
      <c r="Q322" s="328">
        <v>45883</v>
      </c>
      <c r="R322" s="223"/>
      <c r="S322" s="286"/>
      <c r="T322" s="292"/>
      <c r="U322" s="286" t="s">
        <v>561</v>
      </c>
      <c r="V322" s="223">
        <v>10000</v>
      </c>
      <c r="W322" s="286" t="s">
        <v>455</v>
      </c>
      <c r="X322" s="223">
        <v>390839</v>
      </c>
      <c r="Y322" s="286" t="s">
        <v>314</v>
      </c>
      <c r="Z322" s="223">
        <v>370000</v>
      </c>
      <c r="AA322" s="286" t="s">
        <v>640</v>
      </c>
      <c r="AB322" s="223"/>
      <c r="AH322" s="223">
        <f t="shared" si="38"/>
        <v>770839</v>
      </c>
      <c r="AK322" s="171">
        <f t="shared" si="44"/>
        <v>0</v>
      </c>
      <c r="AL322" s="295" t="s">
        <v>4814</v>
      </c>
      <c r="AM322" s="329"/>
      <c r="AN322" s="330"/>
      <c r="AO322" s="125">
        <f t="shared" si="39"/>
        <v>770839</v>
      </c>
      <c r="AP322" s="166">
        <f>0.7%+0.04%+0.12%</f>
        <v>0.0086</v>
      </c>
      <c r="AQ322" s="283">
        <f t="shared" si="40"/>
        <v>0</v>
      </c>
      <c r="AR322" s="223"/>
      <c r="AS322" s="223"/>
      <c r="AT322" s="223"/>
      <c r="AU322" s="223"/>
      <c r="AV322" s="223"/>
      <c r="AW322" s="223"/>
      <c r="AX322" s="223"/>
      <c r="AY322" s="223"/>
      <c r="AZ322" s="223"/>
      <c r="BA322" s="300"/>
      <c r="BB322" s="223">
        <v>400839</v>
      </c>
      <c r="BC322" s="300"/>
      <c r="BL322" s="125">
        <v>370000</v>
      </c>
      <c r="CI322" s="125" t="s">
        <v>260</v>
      </c>
      <c r="CJ322" s="125" t="s">
        <v>271</v>
      </c>
      <c r="CK322" s="125" t="s">
        <v>261</v>
      </c>
    </row>
    <row r="323" s="125" customFormat="1" ht="41" customHeight="1" spans="1:89">
      <c r="A323" s="125">
        <v>270</v>
      </c>
      <c r="C323" s="168">
        <v>45198</v>
      </c>
      <c r="D323" s="294" t="s">
        <v>4815</v>
      </c>
      <c r="F323" s="295" t="s">
        <v>4816</v>
      </c>
      <c r="G323" s="175" t="s">
        <v>4817</v>
      </c>
      <c r="H323" s="175"/>
      <c r="I323" s="284" t="s">
        <v>4818</v>
      </c>
      <c r="J323" s="125">
        <v>126.5</v>
      </c>
      <c r="K323" s="125">
        <v>126.5</v>
      </c>
      <c r="L323" s="125">
        <v>6068.385</v>
      </c>
      <c r="M323" s="325">
        <v>767651</v>
      </c>
      <c r="N323" s="326">
        <v>6068.38</v>
      </c>
      <c r="O323" s="165">
        <v>704266.97</v>
      </c>
      <c r="P323" s="294" t="s">
        <v>4819</v>
      </c>
      <c r="Q323" s="328">
        <v>45883</v>
      </c>
      <c r="R323" s="223"/>
      <c r="S323" s="286"/>
      <c r="T323" s="292"/>
      <c r="U323" s="286" t="s">
        <v>370</v>
      </c>
      <c r="V323" s="223"/>
      <c r="W323" s="286"/>
      <c r="X323" s="223">
        <v>20000</v>
      </c>
      <c r="Y323" s="286" t="s">
        <v>455</v>
      </c>
      <c r="Z323" s="125">
        <v>407590</v>
      </c>
      <c r="AA323" s="125" t="s">
        <v>455</v>
      </c>
      <c r="AB323" s="223">
        <v>340000</v>
      </c>
      <c r="AC323" s="286" t="s">
        <v>2982</v>
      </c>
      <c r="AD323" s="223">
        <v>61</v>
      </c>
      <c r="AE323" s="286" t="s">
        <v>3420</v>
      </c>
      <c r="AH323" s="223">
        <f t="shared" si="38"/>
        <v>767651</v>
      </c>
      <c r="AK323" s="171">
        <f t="shared" si="44"/>
        <v>0</v>
      </c>
      <c r="AL323" s="295" t="s">
        <v>4820</v>
      </c>
      <c r="AM323" s="329"/>
      <c r="AN323" s="330"/>
      <c r="AO323" s="125">
        <f t="shared" si="39"/>
        <v>767590</v>
      </c>
      <c r="AP323" s="166">
        <f>0.7%+0.05%+0.12%</f>
        <v>0.0087</v>
      </c>
      <c r="AQ323" s="283">
        <f t="shared" si="40"/>
        <v>100</v>
      </c>
      <c r="AR323" s="223"/>
      <c r="AS323" s="223"/>
      <c r="AT323" s="223">
        <v>100</v>
      </c>
      <c r="AU323" s="223"/>
      <c r="AV323" s="223"/>
      <c r="AW323" s="223"/>
      <c r="AX323" s="223"/>
      <c r="AY323" s="223"/>
      <c r="AZ323" s="223"/>
      <c r="BB323" s="223">
        <v>767590</v>
      </c>
      <c r="CI323" s="125" t="s">
        <v>260</v>
      </c>
      <c r="CJ323" s="125" t="s">
        <v>271</v>
      </c>
      <c r="CK323" s="125" t="s">
        <v>261</v>
      </c>
    </row>
    <row r="324" s="125" customFormat="1" customHeight="1" spans="1:89">
      <c r="A324" s="125">
        <v>271</v>
      </c>
      <c r="C324" s="168">
        <v>45418</v>
      </c>
      <c r="D324" s="294" t="s">
        <v>4821</v>
      </c>
      <c r="F324" s="295" t="s">
        <v>4822</v>
      </c>
      <c r="G324" s="292" t="s">
        <v>4823</v>
      </c>
      <c r="H324" s="1039" t="s">
        <v>4824</v>
      </c>
      <c r="I324" s="284" t="s">
        <v>4825</v>
      </c>
      <c r="J324" s="125">
        <v>126.9</v>
      </c>
      <c r="K324" s="125">
        <v>126.9</v>
      </c>
      <c r="L324" s="125">
        <v>6095</v>
      </c>
      <c r="M324" s="325">
        <v>773456</v>
      </c>
      <c r="N324" s="326">
        <v>6094.38</v>
      </c>
      <c r="O324" s="327">
        <v>709592.66</v>
      </c>
      <c r="P324" s="294" t="s">
        <v>4826</v>
      </c>
      <c r="Q324" s="328">
        <v>45883</v>
      </c>
      <c r="R324" s="223"/>
      <c r="S324" s="286"/>
      <c r="T324" s="292"/>
      <c r="U324" s="286" t="s">
        <v>267</v>
      </c>
      <c r="V324" s="223">
        <v>20000</v>
      </c>
      <c r="W324" s="286" t="s">
        <v>610</v>
      </c>
      <c r="X324" s="223">
        <v>123456</v>
      </c>
      <c r="Y324" s="286" t="s">
        <v>3745</v>
      </c>
      <c r="Z324" s="125">
        <v>360000</v>
      </c>
      <c r="AA324" s="125" t="s">
        <v>4827</v>
      </c>
      <c r="AB324" s="223">
        <v>70000</v>
      </c>
      <c r="AC324" s="286" t="s">
        <v>764</v>
      </c>
      <c r="AD324" s="223">
        <v>200000</v>
      </c>
      <c r="AE324" s="286" t="s">
        <v>4828</v>
      </c>
      <c r="AH324" s="223">
        <f t="shared" si="38"/>
        <v>773456</v>
      </c>
      <c r="AK324" s="171">
        <f t="shared" si="44"/>
        <v>0</v>
      </c>
      <c r="AL324" s="295" t="s">
        <v>4829</v>
      </c>
      <c r="AM324" s="329"/>
      <c r="AN324" s="330"/>
      <c r="AO324" s="125">
        <f t="shared" si="39"/>
        <v>773456</v>
      </c>
      <c r="AP324" s="169">
        <f>0.6%+0.12%</f>
        <v>0.0072</v>
      </c>
      <c r="AQ324" s="283">
        <f t="shared" si="40"/>
        <v>0</v>
      </c>
      <c r="AR324" s="223"/>
      <c r="AS324" s="223"/>
      <c r="AT324" s="223"/>
      <c r="AU324" s="223"/>
      <c r="AV324" s="223"/>
      <c r="AW324" s="223"/>
      <c r="AX324" s="223"/>
      <c r="AY324" s="223"/>
      <c r="AZ324" s="223"/>
      <c r="BA324" s="300"/>
      <c r="BB324" s="223"/>
      <c r="BC324" s="300"/>
      <c r="BJ324" s="125">
        <v>573456</v>
      </c>
      <c r="BK324" s="125">
        <v>200000</v>
      </c>
      <c r="CI324" s="125" t="s">
        <v>260</v>
      </c>
      <c r="CJ324" s="125" t="s">
        <v>271</v>
      </c>
      <c r="CK324" s="125" t="s">
        <v>261</v>
      </c>
    </row>
    <row r="325" s="125" customFormat="1" customHeight="1" spans="1:89">
      <c r="A325" s="125">
        <v>272</v>
      </c>
      <c r="C325" s="168">
        <v>45415</v>
      </c>
      <c r="D325" s="294" t="s">
        <v>4830</v>
      </c>
      <c r="F325" s="295" t="s">
        <v>4831</v>
      </c>
      <c r="G325" s="292" t="s">
        <v>4832</v>
      </c>
      <c r="H325" s="1040" t="s">
        <v>4833</v>
      </c>
      <c r="I325" s="284" t="s">
        <v>4834</v>
      </c>
      <c r="J325" s="125">
        <v>126.5</v>
      </c>
      <c r="K325" s="125">
        <v>126.5</v>
      </c>
      <c r="L325" s="125">
        <v>6088.38</v>
      </c>
      <c r="M325" s="325">
        <v>770181</v>
      </c>
      <c r="N325" s="326">
        <v>6088.38</v>
      </c>
      <c r="O325" s="327">
        <v>706588.07</v>
      </c>
      <c r="P325" s="294" t="s">
        <v>4835</v>
      </c>
      <c r="Q325" s="328">
        <v>45883</v>
      </c>
      <c r="R325" s="223"/>
      <c r="S325" s="286"/>
      <c r="T325" s="292"/>
      <c r="U325" s="286" t="s">
        <v>294</v>
      </c>
      <c r="V325" s="223"/>
      <c r="W325" s="338"/>
      <c r="X325" s="223">
        <v>20000</v>
      </c>
      <c r="Y325" s="224" t="s">
        <v>296</v>
      </c>
      <c r="Z325" s="223">
        <v>134120</v>
      </c>
      <c r="AA325" s="224" t="s">
        <v>964</v>
      </c>
      <c r="AB325" s="223">
        <v>616000</v>
      </c>
      <c r="AC325" s="224" t="s">
        <v>483</v>
      </c>
      <c r="AD325" s="223">
        <v>61</v>
      </c>
      <c r="AE325" s="286" t="s">
        <v>3420</v>
      </c>
      <c r="AH325" s="223">
        <f t="shared" si="38"/>
        <v>770181</v>
      </c>
      <c r="AK325" s="171">
        <f t="shared" si="44"/>
        <v>0</v>
      </c>
      <c r="AL325" s="295" t="s">
        <v>4836</v>
      </c>
      <c r="AM325" s="329"/>
      <c r="AN325" s="330"/>
      <c r="AO325" s="125">
        <f t="shared" si="39"/>
        <v>770120</v>
      </c>
      <c r="AP325" s="166">
        <f>0.7%+0.12%</f>
        <v>0.0082</v>
      </c>
      <c r="AQ325" s="283">
        <f t="shared" si="40"/>
        <v>0</v>
      </c>
      <c r="AR325" s="223"/>
      <c r="AS325" s="223"/>
      <c r="AT325" s="223"/>
      <c r="AU325" s="223"/>
      <c r="AV325" s="223"/>
      <c r="AW325" s="223"/>
      <c r="AX325" s="223"/>
      <c r="AY325" s="223"/>
      <c r="AZ325" s="223"/>
      <c r="BA325" s="300"/>
      <c r="BB325" s="223"/>
      <c r="BC325" s="300"/>
      <c r="BI325" s="125">
        <v>154120</v>
      </c>
      <c r="BK325" s="125">
        <v>616000</v>
      </c>
      <c r="CI325" s="125" t="s">
        <v>260</v>
      </c>
      <c r="CJ325" s="125" t="s">
        <v>271</v>
      </c>
      <c r="CK325" s="125" t="s">
        <v>261</v>
      </c>
    </row>
    <row r="326" s="125" customFormat="1" customHeight="1" spans="1:89">
      <c r="A326" s="125">
        <v>273</v>
      </c>
      <c r="C326" s="168">
        <v>45362</v>
      </c>
      <c r="D326" s="294" t="s">
        <v>4837</v>
      </c>
      <c r="F326" s="329" t="s">
        <v>4838</v>
      </c>
      <c r="G326" s="175" t="s">
        <v>4839</v>
      </c>
      <c r="H326" s="1040" t="s">
        <v>4840</v>
      </c>
      <c r="I326" s="284" t="s">
        <v>4841</v>
      </c>
      <c r="J326" s="125">
        <v>126.9</v>
      </c>
      <c r="K326" s="125">
        <v>126.9</v>
      </c>
      <c r="L326" s="125">
        <v>7120</v>
      </c>
      <c r="M326" s="325">
        <v>903528</v>
      </c>
      <c r="N326" s="326">
        <v>7104</v>
      </c>
      <c r="O326" s="165">
        <v>828924.77</v>
      </c>
      <c r="P326" s="294" t="s">
        <v>4842</v>
      </c>
      <c r="Q326" s="328">
        <v>45883</v>
      </c>
      <c r="R326" s="223"/>
      <c r="S326" s="286"/>
      <c r="T326" s="292"/>
      <c r="U326" s="286" t="s">
        <v>561</v>
      </c>
      <c r="V326" s="223">
        <v>20000</v>
      </c>
      <c r="W326" s="286" t="s">
        <v>4843</v>
      </c>
      <c r="X326" s="223">
        <f>683528+20000</f>
        <v>703528</v>
      </c>
      <c r="Y326" s="286" t="s">
        <v>437</v>
      </c>
      <c r="Z326" s="223">
        <v>180000</v>
      </c>
      <c r="AA326" s="286" t="s">
        <v>709</v>
      </c>
      <c r="AB326" s="223"/>
      <c r="AH326" s="223">
        <f t="shared" si="38"/>
        <v>903528</v>
      </c>
      <c r="AK326" s="171">
        <f t="shared" si="44"/>
        <v>0</v>
      </c>
      <c r="AL326" s="295" t="s">
        <v>4844</v>
      </c>
      <c r="AM326" s="329"/>
      <c r="AN326" s="330"/>
      <c r="AO326" s="125">
        <f t="shared" si="39"/>
        <v>903528</v>
      </c>
      <c r="AP326" s="169">
        <f>0.7%+0.05%+0.14%</f>
        <v>0.0089</v>
      </c>
      <c r="AQ326" s="283">
        <f t="shared" si="40"/>
        <v>0</v>
      </c>
      <c r="AR326" s="223"/>
      <c r="AS326" s="223"/>
      <c r="AT326" s="223"/>
      <c r="AU326" s="223"/>
      <c r="AV326" s="223"/>
      <c r="AW326" s="223"/>
      <c r="AX326" s="223"/>
      <c r="AY326" s="223"/>
      <c r="AZ326" s="223"/>
      <c r="BA326" s="300"/>
      <c r="BB326" s="223"/>
      <c r="BC326" s="300"/>
      <c r="BG326" s="125">
        <v>723528</v>
      </c>
      <c r="BI326" s="125">
        <v>180000</v>
      </c>
      <c r="CI326" s="125" t="s">
        <v>260</v>
      </c>
      <c r="CJ326" s="125" t="s">
        <v>271</v>
      </c>
      <c r="CK326" s="125" t="s">
        <v>261</v>
      </c>
    </row>
    <row r="327" s="125" customFormat="1" customHeight="1" spans="1:89">
      <c r="A327" s="125">
        <v>274</v>
      </c>
      <c r="B327" s="125"/>
      <c r="C327" s="168">
        <v>45715</v>
      </c>
      <c r="D327" s="294" t="s">
        <v>4845</v>
      </c>
      <c r="F327" s="295" t="s">
        <v>4846</v>
      </c>
      <c r="G327" s="175" t="s">
        <v>4847</v>
      </c>
      <c r="H327" s="1040" t="s">
        <v>4848</v>
      </c>
      <c r="I327" s="284" t="s">
        <v>4849</v>
      </c>
      <c r="J327" s="125">
        <v>126.5</v>
      </c>
      <c r="K327" s="125">
        <v>126.5</v>
      </c>
      <c r="L327" s="125">
        <v>6844</v>
      </c>
      <c r="M327" s="325">
        <v>865766</v>
      </c>
      <c r="N327" s="326">
        <v>6844</v>
      </c>
      <c r="O327" s="327">
        <v>794280.73</v>
      </c>
      <c r="P327" s="294" t="s">
        <v>4850</v>
      </c>
      <c r="Q327" s="328">
        <v>45883</v>
      </c>
      <c r="R327" s="223"/>
      <c r="S327" s="286"/>
      <c r="T327" s="174"/>
      <c r="U327" s="224" t="s">
        <v>2160</v>
      </c>
      <c r="V327" s="223">
        <v>10000</v>
      </c>
      <c r="W327" s="286" t="s">
        <v>410</v>
      </c>
      <c r="X327" s="223">
        <v>125698</v>
      </c>
      <c r="Y327" s="336" t="s">
        <v>3350</v>
      </c>
      <c r="Z327" s="223">
        <v>10000</v>
      </c>
      <c r="AA327" s="286" t="s">
        <v>4851</v>
      </c>
      <c r="AB327" s="223">
        <v>730000</v>
      </c>
      <c r="AC327" s="125" t="s">
        <v>4852</v>
      </c>
      <c r="AD327" s="125">
        <v>-10000</v>
      </c>
      <c r="AF327" s="223">
        <v>68</v>
      </c>
      <c r="AG327" s="286" t="s">
        <v>3252</v>
      </c>
      <c r="AH327" s="223">
        <f t="shared" ref="AH327:AH390" si="45">V327+X327+Z327+AB327+AD327+AF327</f>
        <v>865766</v>
      </c>
      <c r="AK327" s="171">
        <f t="shared" si="44"/>
        <v>0</v>
      </c>
      <c r="AL327" s="295" t="s">
        <v>4853</v>
      </c>
      <c r="AM327" s="329" t="s">
        <v>4854</v>
      </c>
      <c r="AN327" s="330"/>
      <c r="AO327" s="125">
        <f t="shared" ref="AO327:AO390" si="46">SUM(AZ327:CF327)</f>
        <v>865698</v>
      </c>
      <c r="AP327" s="166">
        <f>0.7%+0.03%+0.12%+0.03%</f>
        <v>0.0088</v>
      </c>
      <c r="AQ327" s="283">
        <f t="shared" ref="AQ327:AQ390" si="47">AR327+AS327+AT327+AU327+AV327+AW327+AX327+AY327</f>
        <v>0</v>
      </c>
      <c r="AR327" s="223"/>
      <c r="AS327" s="223"/>
      <c r="AT327" s="223"/>
      <c r="AU327" s="223"/>
      <c r="AV327" s="223"/>
      <c r="AW327" s="223"/>
      <c r="AX327" s="223"/>
      <c r="AY327" s="223"/>
      <c r="AZ327" s="223"/>
      <c r="BA327" s="300"/>
      <c r="BB327" s="223"/>
      <c r="BC327" s="300"/>
      <c r="BR327" s="125">
        <v>135698</v>
      </c>
      <c r="BS327" s="125">
        <v>730000</v>
      </c>
      <c r="CI327" s="125" t="s">
        <v>260</v>
      </c>
      <c r="CK327" s="125" t="s">
        <v>261</v>
      </c>
    </row>
    <row r="328" s="101" customFormat="1" customHeight="1" spans="1:89">
      <c r="D328" s="332"/>
      <c r="F328" s="318"/>
      <c r="G328" s="244"/>
      <c r="H328" s="244"/>
      <c r="I328" s="278" t="s">
        <v>4855</v>
      </c>
      <c r="J328" s="162">
        <v>45.49</v>
      </c>
      <c r="M328" s="314"/>
      <c r="N328" s="315">
        <v>101303</v>
      </c>
      <c r="O328" s="333"/>
      <c r="P328" s="332"/>
      <c r="Q328" s="334"/>
      <c r="R328" s="242"/>
      <c r="S328" s="243"/>
      <c r="T328" s="298"/>
      <c r="U328" s="297"/>
      <c r="V328" s="242"/>
      <c r="W328" s="317"/>
      <c r="AB328" s="242"/>
      <c r="AH328" s="242">
        <f t="shared" si="45"/>
        <v>0</v>
      </c>
      <c r="AK328" s="205">
        <f t="shared" si="44"/>
        <v>0</v>
      </c>
      <c r="AL328" s="318"/>
      <c r="AM328" s="319"/>
      <c r="AN328" s="335"/>
      <c r="AO328" s="101">
        <f t="shared" si="46"/>
        <v>0</v>
      </c>
      <c r="AP328" s="276">
        <v>0.02</v>
      </c>
      <c r="AQ328" s="277">
        <f t="shared" si="47"/>
        <v>0</v>
      </c>
      <c r="AR328" s="242"/>
      <c r="AS328" s="242"/>
      <c r="AT328" s="242"/>
      <c r="AU328" s="242"/>
      <c r="AV328" s="242"/>
      <c r="AW328" s="242"/>
      <c r="AX328" s="242"/>
      <c r="AY328" s="242"/>
      <c r="AZ328" s="242"/>
      <c r="BA328" s="299"/>
      <c r="BB328" s="242"/>
      <c r="BC328" s="299"/>
    </row>
    <row r="329" s="101" customFormat="1" customHeight="1" spans="1:89">
      <c r="D329" s="332"/>
      <c r="F329" s="318"/>
      <c r="G329" s="244" t="s">
        <v>4856</v>
      </c>
      <c r="H329" s="244"/>
      <c r="I329" s="278" t="s">
        <v>4857</v>
      </c>
      <c r="J329" s="162">
        <v>14.74</v>
      </c>
      <c r="K329" s="101"/>
      <c r="M329" s="314">
        <v>32815</v>
      </c>
      <c r="N329" s="315">
        <v>32815</v>
      </c>
      <c r="O329" s="333"/>
      <c r="P329" s="332"/>
      <c r="Q329" s="334"/>
      <c r="R329" s="242"/>
      <c r="S329" s="243"/>
      <c r="T329" s="238"/>
      <c r="U329" s="243"/>
      <c r="V329" s="242">
        <v>32815</v>
      </c>
      <c r="W329" s="243" t="s">
        <v>3239</v>
      </c>
      <c r="X329" s="242"/>
      <c r="Y329" s="317"/>
      <c r="AB329" s="242"/>
      <c r="AH329" s="242">
        <f t="shared" si="45"/>
        <v>32815</v>
      </c>
      <c r="AK329" s="205">
        <f t="shared" si="44"/>
        <v>0</v>
      </c>
      <c r="AL329" s="318"/>
      <c r="AM329" s="319"/>
      <c r="AN329" s="335"/>
      <c r="AO329" s="101">
        <f t="shared" si="46"/>
        <v>32815</v>
      </c>
      <c r="AP329" s="276">
        <v>0.02</v>
      </c>
      <c r="AQ329" s="277">
        <f t="shared" si="47"/>
        <v>0</v>
      </c>
      <c r="AR329" s="242"/>
      <c r="AS329" s="242"/>
      <c r="AT329" s="242"/>
      <c r="AU329" s="242"/>
      <c r="AV329" s="242"/>
      <c r="AW329" s="242"/>
      <c r="AX329" s="242"/>
      <c r="AY329" s="242"/>
      <c r="AZ329" s="242"/>
      <c r="BA329" s="299"/>
      <c r="BB329" s="242"/>
      <c r="BC329" s="299"/>
      <c r="BU329" s="101">
        <v>32815</v>
      </c>
    </row>
    <row r="330" s="101" customFormat="1" customHeight="1" spans="1:89">
      <c r="D330" s="332"/>
      <c r="F330" s="318"/>
      <c r="G330" s="244" t="s">
        <v>4858</v>
      </c>
      <c r="H330" s="244"/>
      <c r="I330" s="278" t="s">
        <v>4859</v>
      </c>
      <c r="J330" s="162">
        <v>22.03</v>
      </c>
      <c r="M330" s="314">
        <v>49056</v>
      </c>
      <c r="N330" s="315">
        <v>49056</v>
      </c>
      <c r="O330" s="333"/>
      <c r="P330" s="332"/>
      <c r="Q330" s="334"/>
      <c r="R330" s="242"/>
      <c r="S330" s="243"/>
      <c r="T330" s="238"/>
      <c r="U330" s="243"/>
      <c r="V330" s="242">
        <v>49056</v>
      </c>
      <c r="W330" s="243" t="s">
        <v>3563</v>
      </c>
      <c r="X330" s="242"/>
      <c r="Y330" s="317"/>
      <c r="AB330" s="242"/>
      <c r="AH330" s="242">
        <f t="shared" si="45"/>
        <v>49056</v>
      </c>
      <c r="AK330" s="205">
        <f t="shared" ref="AK330:AK346" si="48">M330-AH330</f>
        <v>0</v>
      </c>
      <c r="AL330" s="318"/>
      <c r="AM330" s="319"/>
      <c r="AN330" s="335"/>
      <c r="AO330" s="101">
        <f t="shared" si="46"/>
        <v>49056</v>
      </c>
      <c r="AP330" s="276">
        <v>0.02</v>
      </c>
      <c r="AQ330" s="277">
        <f t="shared" si="47"/>
        <v>0</v>
      </c>
      <c r="AR330" s="242"/>
      <c r="AS330" s="242"/>
      <c r="AT330" s="242"/>
      <c r="AU330" s="242"/>
      <c r="AV330" s="242"/>
      <c r="AW330" s="242"/>
      <c r="AX330" s="242"/>
      <c r="AY330" s="242"/>
      <c r="AZ330" s="242"/>
      <c r="BB330" s="242"/>
      <c r="BU330" s="101">
        <v>49056</v>
      </c>
    </row>
    <row r="331" s="101" customFormat="1" customHeight="1" spans="1:89">
      <c r="D331" s="332"/>
      <c r="F331" s="318"/>
      <c r="G331" s="238"/>
      <c r="H331" s="238"/>
      <c r="I331" s="278" t="s">
        <v>4860</v>
      </c>
      <c r="J331" s="162">
        <v>69.4</v>
      </c>
      <c r="M331" s="314"/>
      <c r="N331" s="242" t="s">
        <v>3227</v>
      </c>
      <c r="O331" s="333"/>
      <c r="P331" s="332"/>
      <c r="Q331" s="334"/>
      <c r="R331" s="242"/>
      <c r="S331" s="243"/>
      <c r="T331" s="238"/>
      <c r="U331" s="238"/>
      <c r="V331" s="242"/>
      <c r="W331" s="316"/>
      <c r="X331" s="242"/>
      <c r="Y331" s="316"/>
      <c r="AA331" s="316"/>
      <c r="AB331" s="242"/>
      <c r="AH331" s="242">
        <f t="shared" si="45"/>
        <v>0</v>
      </c>
      <c r="AK331" s="205">
        <f t="shared" si="48"/>
        <v>0</v>
      </c>
      <c r="AL331" s="318"/>
      <c r="AM331" s="319"/>
      <c r="AN331" s="335"/>
      <c r="AO331" s="101">
        <f t="shared" si="46"/>
        <v>0</v>
      </c>
      <c r="AP331" s="276">
        <v>0.02</v>
      </c>
      <c r="AQ331" s="277">
        <f t="shared" si="47"/>
        <v>0</v>
      </c>
      <c r="AR331" s="242"/>
      <c r="AS331" s="242"/>
      <c r="AT331" s="242"/>
      <c r="AU331" s="242"/>
      <c r="AV331" s="242"/>
      <c r="AW331" s="242"/>
      <c r="AX331" s="242"/>
      <c r="AY331" s="242"/>
      <c r="AZ331" s="242"/>
      <c r="BA331" s="299"/>
      <c r="BB331" s="242"/>
      <c r="BC331" s="299"/>
    </row>
    <row r="332" s="101" customFormat="1" customHeight="1" spans="1:89">
      <c r="D332" s="332"/>
      <c r="F332" s="318"/>
      <c r="G332" s="238"/>
      <c r="H332" s="238"/>
      <c r="I332" s="278" t="s">
        <v>4861</v>
      </c>
      <c r="J332" s="162">
        <v>66.06</v>
      </c>
      <c r="M332" s="314"/>
      <c r="N332" s="242" t="s">
        <v>3227</v>
      </c>
      <c r="O332" s="333"/>
      <c r="P332" s="332"/>
      <c r="Q332" s="334"/>
      <c r="R332" s="242"/>
      <c r="S332" s="243"/>
      <c r="T332" s="238"/>
      <c r="U332" s="243"/>
      <c r="V332" s="242"/>
      <c r="W332" s="316"/>
      <c r="X332" s="242"/>
      <c r="Y332" s="241"/>
      <c r="AB332" s="242"/>
      <c r="AH332" s="242">
        <f t="shared" si="45"/>
        <v>0</v>
      </c>
      <c r="AK332" s="205">
        <f t="shared" si="48"/>
        <v>0</v>
      </c>
      <c r="AL332" s="318"/>
      <c r="AM332" s="319"/>
      <c r="AN332" s="335"/>
      <c r="AO332" s="101">
        <f t="shared" si="46"/>
        <v>0</v>
      </c>
      <c r="AP332" s="276">
        <v>0.02</v>
      </c>
      <c r="AQ332" s="277">
        <f t="shared" si="47"/>
        <v>0</v>
      </c>
      <c r="AR332" s="242"/>
      <c r="AS332" s="242"/>
      <c r="AT332" s="242"/>
      <c r="AU332" s="242"/>
      <c r="AV332" s="242"/>
      <c r="AW332" s="242"/>
      <c r="AX332" s="242"/>
      <c r="AY332" s="242"/>
      <c r="AZ332" s="242"/>
      <c r="BA332" s="299"/>
      <c r="BB332" s="242"/>
      <c r="BC332" s="299"/>
    </row>
    <row r="333" s="101" customFormat="1" customHeight="1" spans="1:89">
      <c r="D333" s="332"/>
      <c r="F333" s="318"/>
      <c r="G333" s="298" t="s">
        <v>4862</v>
      </c>
      <c r="H333" s="298"/>
      <c r="I333" s="278" t="s">
        <v>4863</v>
      </c>
      <c r="J333" s="162">
        <v>22.03</v>
      </c>
      <c r="M333" s="314">
        <v>49056</v>
      </c>
      <c r="N333" s="315">
        <v>49056</v>
      </c>
      <c r="O333" s="333"/>
      <c r="P333" s="332"/>
      <c r="Q333" s="334"/>
      <c r="R333" s="242"/>
      <c r="S333" s="243"/>
      <c r="T333" s="298"/>
      <c r="U333" s="297"/>
      <c r="V333" s="242">
        <v>49056</v>
      </c>
      <c r="W333" s="243" t="s">
        <v>3520</v>
      </c>
      <c r="X333" s="353"/>
      <c r="Z333" s="353"/>
      <c r="AB333" s="242"/>
      <c r="AH333" s="242">
        <f t="shared" si="45"/>
        <v>49056</v>
      </c>
      <c r="AK333" s="205">
        <f t="shared" si="48"/>
        <v>0</v>
      </c>
      <c r="AL333" s="318"/>
      <c r="AM333" s="319"/>
      <c r="AN333" s="335"/>
      <c r="AO333" s="101">
        <f t="shared" si="46"/>
        <v>49056</v>
      </c>
      <c r="AP333" s="276">
        <v>0.02</v>
      </c>
      <c r="AQ333" s="277">
        <f t="shared" si="47"/>
        <v>0</v>
      </c>
      <c r="AR333" s="242"/>
      <c r="AS333" s="242"/>
      <c r="AT333" s="242"/>
      <c r="AU333" s="242"/>
      <c r="AV333" s="242"/>
      <c r="AW333" s="242"/>
      <c r="AX333" s="242"/>
      <c r="AY333" s="242"/>
      <c r="AZ333" s="242"/>
      <c r="BA333" s="299"/>
      <c r="BB333" s="242"/>
      <c r="BC333" s="299"/>
      <c r="BU333" s="101">
        <v>49056</v>
      </c>
    </row>
    <row r="334" s="101" customFormat="1" customHeight="1" spans="1:89">
      <c r="D334" s="318"/>
      <c r="F334" s="354"/>
      <c r="G334" s="298" t="s">
        <v>4864</v>
      </c>
      <c r="H334" s="298"/>
      <c r="I334" s="278" t="s">
        <v>4865</v>
      </c>
      <c r="J334" s="162">
        <v>22.03</v>
      </c>
      <c r="M334" s="314">
        <v>49056</v>
      </c>
      <c r="N334" s="315">
        <v>49056</v>
      </c>
      <c r="O334" s="333"/>
      <c r="P334" s="332"/>
      <c r="Q334" s="334"/>
      <c r="R334" s="242"/>
      <c r="S334" s="243"/>
      <c r="T334" s="298"/>
      <c r="U334" s="297"/>
      <c r="V334" s="242">
        <v>49056</v>
      </c>
      <c r="W334" s="243" t="s">
        <v>3563</v>
      </c>
      <c r="AB334" s="242"/>
      <c r="AH334" s="242">
        <f t="shared" si="45"/>
        <v>49056</v>
      </c>
      <c r="AK334" s="205">
        <f t="shared" si="48"/>
        <v>0</v>
      </c>
      <c r="AL334" s="318"/>
      <c r="AM334" s="319"/>
      <c r="AN334" s="335"/>
      <c r="AO334" s="101">
        <f t="shared" si="46"/>
        <v>49056</v>
      </c>
      <c r="AP334" s="276">
        <v>0.02</v>
      </c>
      <c r="AQ334" s="277">
        <f t="shared" si="47"/>
        <v>0</v>
      </c>
      <c r="AR334" s="242"/>
      <c r="AS334" s="242"/>
      <c r="AT334" s="242"/>
      <c r="AU334" s="242"/>
      <c r="AV334" s="242"/>
      <c r="AW334" s="242"/>
      <c r="AX334" s="242"/>
      <c r="AY334" s="242"/>
      <c r="AZ334" s="242"/>
      <c r="BA334" s="299"/>
      <c r="BB334" s="242"/>
      <c r="BC334" s="299"/>
      <c r="BU334" s="101">
        <v>49056</v>
      </c>
    </row>
    <row r="335" s="101" customFormat="1" ht="65" customHeight="1" spans="1:89">
      <c r="F335" s="318"/>
      <c r="G335" s="298"/>
      <c r="H335" s="298"/>
      <c r="I335" s="278" t="s">
        <v>4866</v>
      </c>
      <c r="J335" s="162">
        <v>66.06</v>
      </c>
      <c r="M335" s="239"/>
      <c r="N335" s="242" t="s">
        <v>3227</v>
      </c>
      <c r="O335" s="157"/>
      <c r="Q335" s="241"/>
      <c r="R335" s="242"/>
      <c r="S335" s="297"/>
      <c r="T335" s="298"/>
      <c r="U335" s="297"/>
      <c r="V335" s="242"/>
      <c r="W335" s="291"/>
      <c r="X335" s="242"/>
      <c r="Y335" s="241"/>
      <c r="AA335" s="316"/>
      <c r="AB335" s="242"/>
      <c r="AH335" s="242">
        <f t="shared" si="45"/>
        <v>0</v>
      </c>
      <c r="AK335" s="205">
        <f t="shared" si="48"/>
        <v>0</v>
      </c>
      <c r="AL335" s="318"/>
      <c r="AM335" s="319"/>
      <c r="AN335" s="321"/>
      <c r="AO335" s="101">
        <f t="shared" si="46"/>
        <v>0</v>
      </c>
      <c r="AP335" s="276">
        <v>0.02</v>
      </c>
      <c r="AQ335" s="277">
        <f t="shared" si="47"/>
        <v>0</v>
      </c>
      <c r="AR335" s="242"/>
      <c r="AS335" s="242"/>
      <c r="AT335" s="242"/>
      <c r="AU335" s="242"/>
      <c r="AV335" s="242"/>
      <c r="AW335" s="242"/>
      <c r="AX335" s="242"/>
      <c r="AY335" s="242"/>
      <c r="AZ335" s="242"/>
      <c r="BB335" s="242"/>
    </row>
    <row r="336" s="101" customFormat="1" customHeight="1" spans="1:89">
      <c r="D336" s="318"/>
      <c r="F336" s="318"/>
      <c r="G336" s="298"/>
      <c r="H336" s="298"/>
      <c r="I336" s="278" t="s">
        <v>4867</v>
      </c>
      <c r="J336" s="162">
        <v>66.06</v>
      </c>
      <c r="M336" s="314"/>
      <c r="N336" s="242" t="s">
        <v>3227</v>
      </c>
      <c r="O336" s="333"/>
      <c r="P336" s="332"/>
      <c r="Q336" s="334"/>
      <c r="R336" s="242"/>
      <c r="S336" s="297"/>
      <c r="T336" s="298"/>
      <c r="U336" s="297"/>
      <c r="V336" s="242"/>
      <c r="W336" s="355"/>
      <c r="X336" s="242"/>
      <c r="Y336" s="241"/>
      <c r="AA336" s="316"/>
      <c r="AB336" s="242"/>
      <c r="AH336" s="242">
        <f t="shared" si="45"/>
        <v>0</v>
      </c>
      <c r="AK336" s="205">
        <f t="shared" si="48"/>
        <v>0</v>
      </c>
      <c r="AL336" s="318"/>
      <c r="AM336" s="319"/>
      <c r="AN336" s="335"/>
      <c r="AO336" s="101">
        <f t="shared" si="46"/>
        <v>0</v>
      </c>
      <c r="AP336" s="276">
        <v>0.02</v>
      </c>
      <c r="AQ336" s="277">
        <f t="shared" si="47"/>
        <v>0</v>
      </c>
      <c r="AR336" s="242"/>
      <c r="AS336" s="242"/>
      <c r="AT336" s="242"/>
      <c r="AU336" s="242"/>
      <c r="AV336" s="242"/>
      <c r="AW336" s="242"/>
      <c r="AX336" s="242"/>
      <c r="AY336" s="242"/>
      <c r="AZ336" s="242"/>
      <c r="BA336" s="299"/>
      <c r="BB336" s="242"/>
      <c r="BC336" s="299"/>
    </row>
    <row r="337" s="101" customFormat="1" customHeight="1" spans="1:89">
      <c r="D337" s="332"/>
      <c r="F337" s="318"/>
      <c r="G337" s="238" t="s">
        <v>4868</v>
      </c>
      <c r="H337" s="238"/>
      <c r="I337" s="278" t="s">
        <v>4869</v>
      </c>
      <c r="J337" s="162">
        <v>10.72</v>
      </c>
      <c r="M337" s="314">
        <v>23865</v>
      </c>
      <c r="N337" s="315">
        <v>23865</v>
      </c>
      <c r="O337" s="333"/>
      <c r="P337" s="332"/>
      <c r="Q337" s="334"/>
      <c r="R337" s="242"/>
      <c r="S337" s="243"/>
      <c r="T337" s="238"/>
      <c r="U337" s="243"/>
      <c r="V337" s="242">
        <v>23865</v>
      </c>
      <c r="W337" s="243" t="s">
        <v>4870</v>
      </c>
      <c r="X337" s="242"/>
      <c r="AB337" s="242"/>
      <c r="AH337" s="242">
        <f t="shared" si="45"/>
        <v>23865</v>
      </c>
      <c r="AK337" s="205">
        <f t="shared" si="48"/>
        <v>0</v>
      </c>
      <c r="AL337" s="318"/>
      <c r="AM337" s="319"/>
      <c r="AN337" s="335"/>
      <c r="AO337" s="101">
        <f t="shared" si="46"/>
        <v>23865</v>
      </c>
      <c r="AP337" s="276">
        <v>0.02</v>
      </c>
      <c r="AQ337" s="277">
        <f t="shared" si="47"/>
        <v>0</v>
      </c>
      <c r="AR337" s="242"/>
      <c r="AS337" s="242"/>
      <c r="AT337" s="242"/>
      <c r="AU337" s="242"/>
      <c r="AV337" s="242"/>
      <c r="AW337" s="242"/>
      <c r="AX337" s="242"/>
      <c r="AY337" s="242"/>
      <c r="AZ337" s="242"/>
      <c r="BA337" s="299"/>
      <c r="BB337" s="242"/>
      <c r="BC337" s="299"/>
      <c r="BV337" s="101">
        <v>23865</v>
      </c>
    </row>
    <row r="338" s="101" customFormat="1" customHeight="1" spans="1:89">
      <c r="C338" s="316"/>
      <c r="D338" s="332"/>
      <c r="F338" s="318"/>
      <c r="G338" s="238" t="s">
        <v>1535</v>
      </c>
      <c r="H338" s="238"/>
      <c r="I338" s="278" t="s">
        <v>4871</v>
      </c>
      <c r="J338" s="356">
        <v>11.05</v>
      </c>
      <c r="M338" s="314">
        <v>24611</v>
      </c>
      <c r="N338" s="315">
        <v>24611</v>
      </c>
      <c r="O338" s="333"/>
      <c r="P338" s="332"/>
      <c r="Q338" s="334"/>
      <c r="R338" s="242"/>
      <c r="S338" s="243"/>
      <c r="T338" s="238"/>
      <c r="U338" s="243"/>
      <c r="V338" s="242">
        <v>24611</v>
      </c>
      <c r="W338" s="243" t="s">
        <v>4392</v>
      </c>
      <c r="X338" s="242"/>
      <c r="Y338" s="316"/>
      <c r="AA338" s="316"/>
      <c r="AB338" s="242"/>
      <c r="AC338" s="316"/>
      <c r="AD338" s="316"/>
      <c r="AE338" s="316"/>
      <c r="AF338" s="316"/>
      <c r="AG338" s="316"/>
      <c r="AH338" s="242">
        <f t="shared" si="45"/>
        <v>24611</v>
      </c>
      <c r="AK338" s="205">
        <f t="shared" si="48"/>
        <v>0</v>
      </c>
      <c r="AL338" s="318"/>
      <c r="AM338" s="319"/>
      <c r="AN338" s="335"/>
      <c r="AO338" s="101">
        <f t="shared" si="46"/>
        <v>24611</v>
      </c>
      <c r="AP338" s="276">
        <v>0.02</v>
      </c>
      <c r="AQ338" s="277">
        <f t="shared" si="47"/>
        <v>0</v>
      </c>
      <c r="AR338" s="242"/>
      <c r="AS338" s="242"/>
      <c r="AT338" s="242"/>
      <c r="AU338" s="242"/>
      <c r="AV338" s="242"/>
      <c r="AW338" s="242"/>
      <c r="AX338" s="242"/>
      <c r="AY338" s="242"/>
      <c r="AZ338" s="242"/>
      <c r="BA338" s="299"/>
      <c r="BB338" s="242"/>
      <c r="BC338" s="299"/>
      <c r="BV338" s="101">
        <v>24611</v>
      </c>
    </row>
    <row r="339" s="101" customFormat="1" customHeight="1" spans="1:89">
      <c r="F339" s="322"/>
      <c r="G339" s="298"/>
      <c r="H339" s="298"/>
      <c r="I339" s="278" t="s">
        <v>4872</v>
      </c>
      <c r="J339" s="162">
        <v>38.52</v>
      </c>
      <c r="M339" s="314"/>
      <c r="N339" s="315">
        <v>85766</v>
      </c>
      <c r="O339" s="333"/>
      <c r="P339" s="332"/>
      <c r="Q339" s="334"/>
      <c r="R339" s="242"/>
      <c r="S339" s="297"/>
      <c r="T339" s="298"/>
      <c r="U339" s="297"/>
      <c r="V339" s="242"/>
      <c r="W339" s="241"/>
      <c r="X339" s="242"/>
      <c r="Y339" s="241"/>
      <c r="Z339" s="238"/>
      <c r="AA339" s="241"/>
      <c r="AB339" s="242"/>
      <c r="AH339" s="242">
        <f t="shared" si="45"/>
        <v>0</v>
      </c>
      <c r="AK339" s="205">
        <f t="shared" si="48"/>
        <v>0</v>
      </c>
      <c r="AL339" s="318"/>
      <c r="AM339" s="319"/>
      <c r="AN339" s="335"/>
      <c r="AO339" s="101">
        <f t="shared" si="46"/>
        <v>0</v>
      </c>
      <c r="AP339" s="276">
        <v>0.02</v>
      </c>
      <c r="AQ339" s="277">
        <f t="shared" si="47"/>
        <v>0</v>
      </c>
      <c r="AR339" s="242"/>
      <c r="AS339" s="242"/>
      <c r="AT339" s="242"/>
      <c r="AU339" s="242"/>
      <c r="AV339" s="242"/>
      <c r="AW339" s="242"/>
      <c r="AX339" s="242"/>
      <c r="AY339" s="242"/>
      <c r="AZ339" s="242"/>
      <c r="BA339" s="299"/>
      <c r="BB339" s="242"/>
      <c r="BC339" s="299"/>
    </row>
    <row r="340" s="101" customFormat="1" customHeight="1" spans="1:89">
      <c r="F340" s="318"/>
      <c r="G340" s="298"/>
      <c r="H340" s="298"/>
      <c r="I340" s="278" t="s">
        <v>4873</v>
      </c>
      <c r="J340" s="356">
        <v>18.4</v>
      </c>
      <c r="M340" s="239"/>
      <c r="N340" s="242">
        <v>40977</v>
      </c>
      <c r="O340" s="157"/>
      <c r="P340" s="354"/>
      <c r="Q340" s="241"/>
      <c r="R340" s="242"/>
      <c r="S340" s="243"/>
      <c r="T340" s="298"/>
      <c r="U340" s="297"/>
      <c r="V340" s="242"/>
      <c r="W340" s="357"/>
      <c r="X340" s="242"/>
      <c r="Y340" s="241"/>
      <c r="AA340" s="316"/>
      <c r="AB340" s="242"/>
      <c r="AC340" s="358"/>
      <c r="AD340" s="358"/>
      <c r="AE340" s="358"/>
      <c r="AF340" s="358"/>
      <c r="AG340" s="358"/>
      <c r="AH340" s="242">
        <f t="shared" si="45"/>
        <v>0</v>
      </c>
      <c r="AK340" s="205">
        <f t="shared" si="48"/>
        <v>0</v>
      </c>
      <c r="AL340" s="318"/>
      <c r="AM340" s="319"/>
      <c r="AN340" s="321"/>
      <c r="AO340" s="101">
        <f t="shared" si="46"/>
        <v>0</v>
      </c>
      <c r="AP340" s="276">
        <v>0.02</v>
      </c>
      <c r="AQ340" s="277">
        <f t="shared" si="47"/>
        <v>0</v>
      </c>
      <c r="AR340" s="242"/>
      <c r="AS340" s="242"/>
      <c r="AT340" s="242"/>
      <c r="AU340" s="242"/>
      <c r="AV340" s="242"/>
      <c r="AW340" s="242"/>
      <c r="AX340" s="242"/>
      <c r="AY340" s="242"/>
      <c r="AZ340" s="242"/>
      <c r="BA340" s="299"/>
      <c r="BB340" s="242"/>
      <c r="BC340" s="299"/>
    </row>
    <row r="341" s="101" customFormat="1" ht="62" customHeight="1" spans="1:89">
      <c r="D341" s="332"/>
      <c r="F341" s="318"/>
      <c r="G341" s="298" t="s">
        <v>4665</v>
      </c>
      <c r="H341" s="298"/>
      <c r="I341" s="278" t="s">
        <v>4874</v>
      </c>
      <c r="J341" s="162">
        <v>14.87</v>
      </c>
      <c r="M341" s="314">
        <v>33105</v>
      </c>
      <c r="N341" s="315">
        <v>33105</v>
      </c>
      <c r="O341" s="333"/>
      <c r="P341" s="332"/>
      <c r="Q341" s="334"/>
      <c r="R341" s="242"/>
      <c r="S341" s="297"/>
      <c r="T341" s="298"/>
      <c r="U341" s="297"/>
      <c r="V341" s="242">
        <v>33105</v>
      </c>
      <c r="W341" s="297" t="s">
        <v>3123</v>
      </c>
      <c r="Y341" s="316"/>
      <c r="AA341" s="316"/>
      <c r="AB341" s="242"/>
      <c r="AH341" s="242">
        <f t="shared" si="45"/>
        <v>33105</v>
      </c>
      <c r="AK341" s="205">
        <f t="shared" si="48"/>
        <v>0</v>
      </c>
      <c r="AL341" s="318"/>
      <c r="AM341" s="319"/>
      <c r="AN341" s="335"/>
      <c r="AO341" s="101">
        <f t="shared" si="46"/>
        <v>33105</v>
      </c>
      <c r="AP341" s="276">
        <v>0.02</v>
      </c>
      <c r="AQ341" s="277">
        <f t="shared" si="47"/>
        <v>0</v>
      </c>
      <c r="AR341" s="242"/>
      <c r="AS341" s="242"/>
      <c r="AT341" s="242"/>
      <c r="AU341" s="242"/>
      <c r="AV341" s="242"/>
      <c r="AW341" s="242"/>
      <c r="AX341" s="242"/>
      <c r="AY341" s="242"/>
      <c r="AZ341" s="242"/>
      <c r="BA341" s="299"/>
      <c r="BB341" s="242"/>
      <c r="BC341" s="299"/>
      <c r="BU341" s="101">
        <v>33105</v>
      </c>
    </row>
    <row r="342" s="101" customFormat="1" ht="47" customHeight="1" spans="1:89">
      <c r="D342" s="332"/>
      <c r="F342" s="318"/>
      <c r="G342" s="298" t="s">
        <v>4875</v>
      </c>
      <c r="H342" s="298"/>
      <c r="I342" s="278" t="s">
        <v>4876</v>
      </c>
      <c r="J342" s="356">
        <v>14.12</v>
      </c>
      <c r="M342" s="314">
        <v>31447</v>
      </c>
      <c r="N342" s="315">
        <v>31447</v>
      </c>
      <c r="O342" s="333"/>
      <c r="P342" s="332"/>
      <c r="Q342" s="334"/>
      <c r="R342" s="242"/>
      <c r="S342" s="243"/>
      <c r="T342" s="298"/>
      <c r="U342" s="297"/>
      <c r="V342" s="242">
        <f>11447+20000</f>
        <v>31447</v>
      </c>
      <c r="W342" s="243" t="s">
        <v>3563</v>
      </c>
      <c r="X342" s="242"/>
      <c r="Y342" s="241"/>
      <c r="AB342" s="242"/>
      <c r="AH342" s="242">
        <f t="shared" si="45"/>
        <v>31447</v>
      </c>
      <c r="AK342" s="205">
        <f t="shared" si="48"/>
        <v>0</v>
      </c>
      <c r="AL342" s="318"/>
      <c r="AM342" s="319"/>
      <c r="AN342" s="335"/>
      <c r="AO342" s="101">
        <f t="shared" si="46"/>
        <v>31447</v>
      </c>
      <c r="AP342" s="276">
        <v>0.02</v>
      </c>
      <c r="AQ342" s="277">
        <f t="shared" si="47"/>
        <v>0</v>
      </c>
      <c r="AR342" s="242"/>
      <c r="AS342" s="242"/>
      <c r="AT342" s="242"/>
      <c r="AU342" s="242"/>
      <c r="AV342" s="242"/>
      <c r="AW342" s="242"/>
      <c r="AX342" s="242"/>
      <c r="AY342" s="242"/>
      <c r="AZ342" s="242"/>
      <c r="BA342" s="299"/>
      <c r="BB342" s="242"/>
      <c r="BC342" s="299"/>
      <c r="BU342" s="101">
        <v>31447</v>
      </c>
    </row>
    <row r="343" s="101" customFormat="1" customHeight="1" spans="1:89">
      <c r="D343" s="332"/>
      <c r="F343" s="318"/>
      <c r="G343" s="298" t="s">
        <v>4877</v>
      </c>
      <c r="H343" s="298"/>
      <c r="I343" s="278" t="s">
        <v>4878</v>
      </c>
      <c r="J343" s="162">
        <v>11.05</v>
      </c>
      <c r="M343" s="314">
        <v>24611</v>
      </c>
      <c r="N343" s="315">
        <v>24611</v>
      </c>
      <c r="O343" s="333"/>
      <c r="P343" s="332"/>
      <c r="Q343" s="334"/>
      <c r="R343" s="242"/>
      <c r="S343" s="297"/>
      <c r="T343" s="298"/>
      <c r="U343" s="297"/>
      <c r="V343" s="242">
        <v>24611</v>
      </c>
      <c r="W343" s="297">
        <v>45935</v>
      </c>
      <c r="X343" s="242"/>
      <c r="Y343" s="241"/>
      <c r="Z343" s="353"/>
      <c r="AB343" s="242"/>
      <c r="AH343" s="242">
        <f t="shared" si="45"/>
        <v>24611</v>
      </c>
      <c r="AK343" s="205">
        <f t="shared" si="48"/>
        <v>0</v>
      </c>
      <c r="AL343" s="318"/>
      <c r="AM343" s="319"/>
      <c r="AN343" s="335"/>
      <c r="AO343" s="101">
        <f t="shared" si="46"/>
        <v>24611</v>
      </c>
      <c r="AP343" s="276">
        <v>0.02</v>
      </c>
      <c r="AQ343" s="277">
        <f t="shared" si="47"/>
        <v>0</v>
      </c>
      <c r="AR343" s="242"/>
      <c r="AS343" s="242"/>
      <c r="AT343" s="242"/>
      <c r="AU343" s="242"/>
      <c r="AV343" s="242"/>
      <c r="AW343" s="242"/>
      <c r="AX343" s="242"/>
      <c r="AY343" s="242"/>
      <c r="AZ343" s="242"/>
      <c r="BA343" s="299"/>
      <c r="BB343" s="242"/>
      <c r="BC343" s="299"/>
      <c r="BZ343" s="101">
        <v>24611</v>
      </c>
    </row>
    <row r="344" s="101" customFormat="1" customHeight="1" spans="1:89">
      <c r="D344" s="332"/>
      <c r="F344" s="318"/>
      <c r="G344" s="298" t="s">
        <v>4879</v>
      </c>
      <c r="H344" s="298"/>
      <c r="I344" s="278" t="s">
        <v>4880</v>
      </c>
      <c r="J344" s="356">
        <v>11.05</v>
      </c>
      <c r="K344" s="205"/>
      <c r="M344" s="314">
        <v>24611</v>
      </c>
      <c r="N344" s="315">
        <v>24611</v>
      </c>
      <c r="O344" s="333"/>
      <c r="P344" s="332"/>
      <c r="Q344" s="334"/>
      <c r="R344" s="242"/>
      <c r="S344" s="243"/>
      <c r="T344" s="298"/>
      <c r="U344" s="298"/>
      <c r="V344" s="242">
        <v>24611</v>
      </c>
      <c r="W344" s="243" t="s">
        <v>3520</v>
      </c>
      <c r="X344" s="242"/>
      <c r="Y344" s="316"/>
      <c r="AA344" s="316"/>
      <c r="AB344" s="242"/>
      <c r="AC344" s="316"/>
      <c r="AD344" s="316"/>
      <c r="AE344" s="316"/>
      <c r="AF344" s="316"/>
      <c r="AG344" s="316"/>
      <c r="AH344" s="242">
        <f t="shared" si="45"/>
        <v>24611</v>
      </c>
      <c r="AK344" s="205">
        <f t="shared" si="48"/>
        <v>0</v>
      </c>
      <c r="AL344" s="318"/>
      <c r="AM344" s="319"/>
      <c r="AN344" s="335"/>
      <c r="AO344" s="101">
        <f t="shared" si="46"/>
        <v>24611</v>
      </c>
      <c r="AP344" s="276">
        <v>0.02</v>
      </c>
      <c r="AQ344" s="277">
        <f t="shared" si="47"/>
        <v>0</v>
      </c>
      <c r="AR344" s="242"/>
      <c r="AS344" s="242"/>
      <c r="AT344" s="242"/>
      <c r="AU344" s="242"/>
      <c r="AV344" s="242"/>
      <c r="AW344" s="242"/>
      <c r="AX344" s="242"/>
      <c r="AY344" s="242"/>
      <c r="AZ344" s="242"/>
      <c r="BB344" s="242"/>
      <c r="BU344" s="101">
        <v>24611</v>
      </c>
    </row>
    <row r="345" s="101" customFormat="1" ht="52" customHeight="1" spans="1:89">
      <c r="D345" s="332"/>
      <c r="F345" s="319"/>
      <c r="G345" s="298"/>
      <c r="H345" s="298"/>
      <c r="I345" s="278" t="s">
        <v>4881</v>
      </c>
      <c r="J345" s="162">
        <v>14.12</v>
      </c>
      <c r="M345" s="239"/>
      <c r="N345" s="242">
        <v>31447</v>
      </c>
      <c r="O345" s="157"/>
      <c r="P345" s="332"/>
      <c r="Q345" s="334"/>
      <c r="R345" s="242"/>
      <c r="S345" s="297"/>
      <c r="T345" s="298"/>
      <c r="U345" s="297"/>
      <c r="V345" s="242"/>
      <c r="W345" s="291"/>
      <c r="AB345" s="242"/>
      <c r="AH345" s="242">
        <f t="shared" si="45"/>
        <v>0</v>
      </c>
      <c r="AK345" s="205">
        <f t="shared" si="48"/>
        <v>0</v>
      </c>
      <c r="AL345" s="318"/>
      <c r="AM345" s="319"/>
      <c r="AN345" s="321"/>
      <c r="AO345" s="101">
        <f t="shared" si="46"/>
        <v>0</v>
      </c>
      <c r="AP345" s="276">
        <v>0.02</v>
      </c>
      <c r="AQ345" s="277">
        <f t="shared" si="47"/>
        <v>0</v>
      </c>
      <c r="AR345" s="242"/>
      <c r="AS345" s="242"/>
      <c r="AT345" s="242"/>
      <c r="AU345" s="242"/>
      <c r="AV345" s="242"/>
      <c r="AW345" s="242"/>
      <c r="AX345" s="242"/>
      <c r="AY345" s="242"/>
      <c r="AZ345" s="242"/>
      <c r="BA345" s="299"/>
      <c r="BB345" s="242"/>
      <c r="BC345" s="299"/>
    </row>
    <row r="346" s="101" customFormat="1" customHeight="1" spans="1:89">
      <c r="D346" s="332"/>
      <c r="F346" s="318"/>
      <c r="G346" s="298" t="s">
        <v>4882</v>
      </c>
      <c r="H346" s="298"/>
      <c r="I346" s="278" t="s">
        <v>4883</v>
      </c>
      <c r="J346" s="356">
        <v>22.68</v>
      </c>
      <c r="M346" s="314">
        <f>2000+48506</f>
        <v>50506</v>
      </c>
      <c r="N346" s="315">
        <v>50506</v>
      </c>
      <c r="O346" s="333"/>
      <c r="P346" s="332"/>
      <c r="Q346" s="334"/>
      <c r="R346" s="242"/>
      <c r="S346" s="297"/>
      <c r="T346" s="298"/>
      <c r="U346" s="297"/>
      <c r="V346" s="242">
        <v>50506</v>
      </c>
      <c r="W346" s="297" t="s">
        <v>3283</v>
      </c>
      <c r="X346" s="242"/>
      <c r="Y346" s="316"/>
      <c r="AA346" s="316"/>
      <c r="AB346" s="242"/>
      <c r="AH346" s="242">
        <f t="shared" si="45"/>
        <v>50506</v>
      </c>
      <c r="AK346" s="205">
        <f t="shared" si="48"/>
        <v>0</v>
      </c>
      <c r="AL346" s="318"/>
      <c r="AM346" s="319"/>
      <c r="AN346" s="335"/>
      <c r="AO346" s="101">
        <f t="shared" si="46"/>
        <v>50506</v>
      </c>
      <c r="AP346" s="276">
        <v>0.02</v>
      </c>
      <c r="AQ346" s="277">
        <f t="shared" si="47"/>
        <v>0</v>
      </c>
      <c r="AR346" s="242"/>
      <c r="AS346" s="242"/>
      <c r="AT346" s="242"/>
      <c r="AU346" s="242"/>
      <c r="AV346" s="242"/>
      <c r="AW346" s="242"/>
      <c r="AX346" s="242"/>
      <c r="AY346" s="242"/>
      <c r="AZ346" s="242"/>
      <c r="BA346" s="299"/>
      <c r="BB346" s="242"/>
      <c r="BC346" s="299"/>
      <c r="BU346" s="101">
        <v>50506</v>
      </c>
    </row>
    <row r="347" s="125" customFormat="1" customHeight="1" spans="1:89">
      <c r="A347" s="174">
        <v>275</v>
      </c>
      <c r="C347" s="168">
        <v>45204</v>
      </c>
      <c r="D347" s="294" t="s">
        <v>4884</v>
      </c>
      <c r="F347" s="329" t="s">
        <v>4885</v>
      </c>
      <c r="G347" s="292" t="s">
        <v>4886</v>
      </c>
      <c r="H347" s="292"/>
      <c r="I347" s="284" t="s">
        <v>4887</v>
      </c>
      <c r="J347" s="125">
        <v>150.01</v>
      </c>
      <c r="K347" s="125">
        <v>150.01</v>
      </c>
      <c r="L347" s="125">
        <v>8264</v>
      </c>
      <c r="M347" s="325">
        <v>1239683</v>
      </c>
      <c r="N347" s="326">
        <v>8264</v>
      </c>
      <c r="O347" s="165">
        <v>1137323.85</v>
      </c>
      <c r="P347" s="294" t="s">
        <v>4888</v>
      </c>
      <c r="Q347" s="328">
        <v>45908</v>
      </c>
      <c r="R347" s="223"/>
      <c r="T347" s="1039" t="s">
        <v>4889</v>
      </c>
      <c r="U347" s="286" t="s">
        <v>4890</v>
      </c>
      <c r="V347" s="223"/>
      <c r="W347" s="286"/>
      <c r="X347" s="223">
        <f>10000-10000</f>
        <v>0</v>
      </c>
      <c r="Y347" s="286" t="s">
        <v>4621</v>
      </c>
      <c r="Z347" s="223">
        <v>10000</v>
      </c>
      <c r="AA347" s="224" t="s">
        <v>455</v>
      </c>
      <c r="AB347" s="223">
        <v>129683</v>
      </c>
      <c r="AC347" s="224" t="s">
        <v>471</v>
      </c>
      <c r="AD347" s="125">
        <v>300000</v>
      </c>
      <c r="AE347" s="125" t="s">
        <v>2321</v>
      </c>
      <c r="AF347" s="125">
        <v>800000</v>
      </c>
      <c r="AG347" s="125" t="s">
        <v>624</v>
      </c>
      <c r="AH347" s="223">
        <f t="shared" si="45"/>
        <v>1239683</v>
      </c>
      <c r="AK347" s="171">
        <f t="shared" ref="AK347:AK353" si="49">M347-AH347</f>
        <v>0</v>
      </c>
      <c r="AL347" s="329" t="s">
        <v>4891</v>
      </c>
      <c r="AM347" s="329"/>
      <c r="AN347" s="330"/>
      <c r="AO347" s="125">
        <f t="shared" si="46"/>
        <v>1239683</v>
      </c>
      <c r="AP347" s="166">
        <f>0.7%+0.05%+0.12%</f>
        <v>0.0087</v>
      </c>
      <c r="AQ347" s="283">
        <f t="shared" si="47"/>
        <v>200</v>
      </c>
      <c r="AR347" s="223"/>
      <c r="AS347" s="223"/>
      <c r="AT347" s="223"/>
      <c r="AU347" s="223">
        <v>100</v>
      </c>
      <c r="AV347" s="223">
        <v>100</v>
      </c>
      <c r="AW347" s="223"/>
      <c r="AX347" s="223"/>
      <c r="AY347" s="223"/>
      <c r="AZ347" s="223"/>
      <c r="BA347" s="300"/>
      <c r="BB347" s="223"/>
      <c r="BC347" s="300">
        <v>439683</v>
      </c>
      <c r="BE347" s="125">
        <v>800000</v>
      </c>
      <c r="CI347" s="125" t="s">
        <v>260</v>
      </c>
      <c r="CJ347" s="125" t="s">
        <v>271</v>
      </c>
      <c r="CK347" s="125" t="s">
        <v>261</v>
      </c>
    </row>
    <row r="348" s="125" customFormat="1" ht="44" customHeight="1" spans="1:89">
      <c r="A348" s="174">
        <v>276</v>
      </c>
      <c r="C348" s="168">
        <v>45410</v>
      </c>
      <c r="D348" s="295" t="s">
        <v>4892</v>
      </c>
      <c r="F348" s="295" t="s">
        <v>4893</v>
      </c>
      <c r="G348" s="292" t="s">
        <v>4894</v>
      </c>
      <c r="H348" s="1039" t="s">
        <v>4895</v>
      </c>
      <c r="I348" s="281" t="s">
        <v>4896</v>
      </c>
      <c r="J348" s="125">
        <v>140.45</v>
      </c>
      <c r="K348" s="125">
        <v>140.45</v>
      </c>
      <c r="L348" s="125">
        <v>8254</v>
      </c>
      <c r="M348" s="325">
        <v>1159275</v>
      </c>
      <c r="N348" s="326">
        <v>8254</v>
      </c>
      <c r="O348" s="327">
        <v>1063555.05</v>
      </c>
      <c r="P348" s="294" t="s">
        <v>4897</v>
      </c>
      <c r="Q348" s="328">
        <v>45908</v>
      </c>
      <c r="R348" s="223"/>
      <c r="S348" s="224"/>
      <c r="T348" s="292"/>
      <c r="U348" s="286" t="s">
        <v>561</v>
      </c>
      <c r="V348" s="223">
        <v>2000</v>
      </c>
      <c r="W348" s="224" t="s">
        <v>4898</v>
      </c>
      <c r="X348" s="223">
        <v>7275</v>
      </c>
      <c r="Y348" s="224" t="s">
        <v>4199</v>
      </c>
      <c r="Z348" s="223">
        <v>5000</v>
      </c>
      <c r="AA348" s="224" t="s">
        <v>4899</v>
      </c>
      <c r="AB348" s="223">
        <v>265000</v>
      </c>
      <c r="AC348" s="224" t="s">
        <v>4241</v>
      </c>
      <c r="AD348" s="125">
        <v>80000</v>
      </c>
      <c r="AE348" s="168">
        <v>45564</v>
      </c>
      <c r="AF348" s="223">
        <v>800000</v>
      </c>
      <c r="AG348" s="224" t="s">
        <v>592</v>
      </c>
      <c r="AH348" s="223">
        <f t="shared" si="45"/>
        <v>1159275</v>
      </c>
      <c r="AK348" s="171">
        <f t="shared" si="49"/>
        <v>0</v>
      </c>
      <c r="AL348" s="295" t="s">
        <v>4900</v>
      </c>
      <c r="AM348" s="329"/>
      <c r="AN348" s="330"/>
      <c r="AO348" s="125">
        <f t="shared" si="46"/>
        <v>1159275</v>
      </c>
      <c r="AP348" s="169">
        <f>0.7%+0.05%+0.12%</f>
        <v>0.0087</v>
      </c>
      <c r="AQ348" s="283">
        <f t="shared" si="47"/>
        <v>100</v>
      </c>
      <c r="AR348" s="223"/>
      <c r="AS348" s="223"/>
      <c r="AT348" s="223">
        <v>100</v>
      </c>
      <c r="AU348" s="223"/>
      <c r="AV348" s="223"/>
      <c r="AW348" s="223"/>
      <c r="AX348" s="223"/>
      <c r="AY348" s="223"/>
      <c r="AZ348" s="223"/>
      <c r="BB348" s="223"/>
      <c r="BM348" s="125">
        <v>359275</v>
      </c>
      <c r="BN348" s="125">
        <v>800000</v>
      </c>
      <c r="CI348" s="125" t="s">
        <v>260</v>
      </c>
      <c r="CK348" s="125" t="s">
        <v>261</v>
      </c>
    </row>
    <row r="349" s="125" customFormat="1" customHeight="1" spans="1:89">
      <c r="A349" s="174">
        <v>277</v>
      </c>
      <c r="B349" s="125"/>
      <c r="C349" s="168">
        <v>45566</v>
      </c>
      <c r="D349" s="125">
        <v>20240005473</v>
      </c>
      <c r="F349" s="295" t="s">
        <v>4901</v>
      </c>
      <c r="G349" s="292" t="s">
        <v>4879</v>
      </c>
      <c r="H349" s="1039" t="s">
        <v>4902</v>
      </c>
      <c r="I349" s="284" t="s">
        <v>4903</v>
      </c>
      <c r="J349" s="125">
        <v>147.09</v>
      </c>
      <c r="K349" s="125">
        <v>147.09</v>
      </c>
      <c r="L349" s="171">
        <v>5568</v>
      </c>
      <c r="M349" s="282">
        <v>819000</v>
      </c>
      <c r="N349" s="223">
        <v>5568</v>
      </c>
      <c r="O349" s="165">
        <v>751376.15</v>
      </c>
      <c r="P349" s="1037" t="s">
        <v>4904</v>
      </c>
      <c r="Q349" s="210">
        <v>45908</v>
      </c>
      <c r="R349" s="223"/>
      <c r="S349" s="224"/>
      <c r="T349" s="174"/>
      <c r="U349" s="224" t="s">
        <v>267</v>
      </c>
      <c r="V349" s="223">
        <v>20000</v>
      </c>
      <c r="W349" s="224">
        <v>45561</v>
      </c>
      <c r="X349" s="223">
        <v>399000</v>
      </c>
      <c r="Y349" s="210">
        <v>45565</v>
      </c>
      <c r="Z349" s="223">
        <v>400000</v>
      </c>
      <c r="AA349" s="224" t="s">
        <v>859</v>
      </c>
      <c r="AB349" s="223"/>
      <c r="AH349" s="223">
        <f t="shared" si="45"/>
        <v>819000</v>
      </c>
      <c r="AK349" s="171">
        <f t="shared" si="49"/>
        <v>0</v>
      </c>
      <c r="AL349" s="295" t="s">
        <v>4905</v>
      </c>
      <c r="AM349" s="329"/>
      <c r="AN349" s="339"/>
      <c r="AO349" s="125">
        <f t="shared" si="46"/>
        <v>819000</v>
      </c>
      <c r="AP349" s="169">
        <f>0.6%+0.1%</f>
        <v>0.007</v>
      </c>
      <c r="AQ349" s="283">
        <f t="shared" si="47"/>
        <v>0</v>
      </c>
      <c r="AR349" s="223"/>
      <c r="AS349" s="223"/>
      <c r="AT349" s="223"/>
      <c r="AU349" s="223"/>
      <c r="AV349" s="223"/>
      <c r="AW349" s="223"/>
      <c r="AX349" s="223"/>
      <c r="AY349" s="223"/>
      <c r="AZ349" s="223"/>
      <c r="BA349" s="300"/>
      <c r="BB349" s="223"/>
      <c r="BC349" s="300"/>
      <c r="BN349" s="125">
        <v>819000</v>
      </c>
      <c r="CI349" s="125" t="s">
        <v>260</v>
      </c>
      <c r="CK349" s="125" t="s">
        <v>261</v>
      </c>
    </row>
    <row r="350" s="125" customFormat="1" customHeight="1" spans="1:89">
      <c r="A350" s="174">
        <v>278</v>
      </c>
      <c r="B350" s="125"/>
      <c r="C350" s="168">
        <v>45742</v>
      </c>
      <c r="D350" s="294" t="s">
        <v>4906</v>
      </c>
      <c r="F350" s="125" t="s">
        <v>4907</v>
      </c>
      <c r="G350" s="175" t="s">
        <v>4908</v>
      </c>
      <c r="H350" s="1037" t="s">
        <v>4909</v>
      </c>
      <c r="I350" s="281" t="s">
        <v>4910</v>
      </c>
      <c r="J350" s="125">
        <v>137.88</v>
      </c>
      <c r="K350" s="125">
        <v>137.88</v>
      </c>
      <c r="L350" s="125">
        <v>5800</v>
      </c>
      <c r="M350" s="325">
        <v>799704</v>
      </c>
      <c r="N350" s="326">
        <v>5776.15</v>
      </c>
      <c r="O350" s="327">
        <v>733673.39</v>
      </c>
      <c r="P350" s="294" t="s">
        <v>4911</v>
      </c>
      <c r="Q350" s="328">
        <v>45908</v>
      </c>
      <c r="R350" s="223"/>
      <c r="S350" s="224"/>
      <c r="T350" s="174"/>
      <c r="U350" s="175" t="s">
        <v>2160</v>
      </c>
      <c r="V350" s="223">
        <v>20000</v>
      </c>
      <c r="W350" s="224" t="s">
        <v>4912</v>
      </c>
      <c r="X350" s="223">
        <v>140704</v>
      </c>
      <c r="Y350" s="125" t="s">
        <v>786</v>
      </c>
      <c r="Z350" s="223">
        <v>639000</v>
      </c>
      <c r="AA350" s="224" t="s">
        <v>3123</v>
      </c>
      <c r="AB350" s="223"/>
      <c r="AH350" s="223">
        <f t="shared" si="45"/>
        <v>799704</v>
      </c>
      <c r="AK350" s="171">
        <f t="shared" si="49"/>
        <v>0</v>
      </c>
      <c r="AL350" s="295" t="s">
        <v>4913</v>
      </c>
      <c r="AM350" s="329" t="s">
        <v>3290</v>
      </c>
      <c r="AN350" s="330"/>
      <c r="AO350" s="125">
        <f t="shared" si="46"/>
        <v>799704</v>
      </c>
      <c r="AP350" s="166">
        <f>0.4%+0.02%+0.08%+0.03%</f>
        <v>0.0053</v>
      </c>
      <c r="AQ350" s="283">
        <f t="shared" si="47"/>
        <v>0</v>
      </c>
      <c r="AR350" s="223"/>
      <c r="AS350" s="223"/>
      <c r="AT350" s="223"/>
      <c r="AU350" s="223"/>
      <c r="AV350" s="223"/>
      <c r="AW350" s="223"/>
      <c r="AX350" s="223"/>
      <c r="AY350" s="223"/>
      <c r="AZ350" s="223"/>
      <c r="BA350" s="300"/>
      <c r="BB350" s="223"/>
      <c r="BC350" s="300"/>
      <c r="BU350" s="125">
        <v>799704</v>
      </c>
      <c r="CI350" s="125" t="s">
        <v>260</v>
      </c>
      <c r="CK350" s="125" t="s">
        <v>261</v>
      </c>
    </row>
    <row r="351" s="125" customFormat="1" customHeight="1" spans="1:89">
      <c r="A351" s="174">
        <v>279</v>
      </c>
      <c r="B351" s="125"/>
      <c r="C351" s="168">
        <v>45707</v>
      </c>
      <c r="D351" s="294" t="s">
        <v>4914</v>
      </c>
      <c r="F351" s="359" t="s">
        <v>4915</v>
      </c>
      <c r="G351" s="292" t="s">
        <v>4916</v>
      </c>
      <c r="H351" s="292"/>
      <c r="I351" s="284" t="s">
        <v>4917</v>
      </c>
      <c r="J351" s="125">
        <v>147.09</v>
      </c>
      <c r="K351" s="125">
        <v>147.09</v>
      </c>
      <c r="L351" s="125">
        <v>5800</v>
      </c>
      <c r="M351" s="325">
        <v>853122</v>
      </c>
      <c r="N351" s="326">
        <v>5574.82</v>
      </c>
      <c r="O351" s="327">
        <v>782680.73</v>
      </c>
      <c r="P351" s="294" t="s">
        <v>4918</v>
      </c>
      <c r="Q351" s="328">
        <v>45908</v>
      </c>
      <c r="R351" s="223"/>
      <c r="S351" s="286"/>
      <c r="T351" s="292"/>
      <c r="U351" s="286" t="s">
        <v>546</v>
      </c>
      <c r="V351" s="223">
        <v>3122</v>
      </c>
      <c r="W351" s="286" t="s">
        <v>429</v>
      </c>
      <c r="X351" s="223">
        <v>390000</v>
      </c>
      <c r="Y351" s="286" t="s">
        <v>3534</v>
      </c>
      <c r="Z351" s="125">
        <v>50000</v>
      </c>
      <c r="AA351" s="125" t="s">
        <v>4912</v>
      </c>
      <c r="AB351" s="223">
        <v>410000</v>
      </c>
      <c r="AC351" s="286" t="s">
        <v>3351</v>
      </c>
      <c r="AD351" s="125"/>
      <c r="AE351" s="125"/>
      <c r="AF351" s="223"/>
      <c r="AG351" s="286"/>
      <c r="AH351" s="223">
        <f t="shared" si="45"/>
        <v>853122</v>
      </c>
      <c r="AK351" s="171">
        <f t="shared" si="49"/>
        <v>0</v>
      </c>
      <c r="AL351" s="295" t="s">
        <v>4919</v>
      </c>
      <c r="AM351" s="329" t="s">
        <v>4920</v>
      </c>
      <c r="AN351" s="330"/>
      <c r="AO351" s="125">
        <f t="shared" si="46"/>
        <v>853122</v>
      </c>
      <c r="AP351" s="166">
        <f>0.4%+0.12%+0.03%</f>
        <v>0.0055</v>
      </c>
      <c r="AQ351" s="283">
        <f t="shared" si="47"/>
        <v>100</v>
      </c>
      <c r="AR351" s="223"/>
      <c r="AS351" s="223"/>
      <c r="AT351" s="223"/>
      <c r="AU351" s="223"/>
      <c r="AV351" s="223">
        <v>100</v>
      </c>
      <c r="AW351" s="223"/>
      <c r="AX351" s="223"/>
      <c r="AY351" s="223"/>
      <c r="AZ351" s="223"/>
      <c r="BA351" s="300"/>
      <c r="BB351" s="223"/>
      <c r="BC351" s="300"/>
      <c r="BS351" s="125">
        <v>443122</v>
      </c>
      <c r="BT351" s="125">
        <v>410000</v>
      </c>
      <c r="BU351" s="125"/>
      <c r="BV351" s="125"/>
      <c r="CI351" s="125" t="s">
        <v>260</v>
      </c>
      <c r="CK351" s="125" t="s">
        <v>261</v>
      </c>
    </row>
    <row r="352" s="125" customFormat="1" customHeight="1" spans="1:89">
      <c r="A352" s="174">
        <v>280</v>
      </c>
      <c r="C352" s="168">
        <v>45263</v>
      </c>
      <c r="D352" s="125">
        <v>20230010089</v>
      </c>
      <c r="F352" s="295" t="s">
        <v>4921</v>
      </c>
      <c r="G352" s="292" t="s">
        <v>4922</v>
      </c>
      <c r="H352" s="1038" t="s">
        <v>4923</v>
      </c>
      <c r="I352" s="281" t="s">
        <v>4924</v>
      </c>
      <c r="J352" s="125">
        <v>137.88</v>
      </c>
      <c r="K352" s="125">
        <v>137.88</v>
      </c>
      <c r="L352" s="125">
        <v>5802.146</v>
      </c>
      <c r="M352" s="282">
        <v>800000</v>
      </c>
      <c r="N352" s="223">
        <f>5830.81-28.66</f>
        <v>5802.15</v>
      </c>
      <c r="O352" s="165">
        <v>733944.95</v>
      </c>
      <c r="P352" s="295" t="s">
        <v>4925</v>
      </c>
      <c r="Q352" s="210">
        <v>45908</v>
      </c>
      <c r="R352" s="223"/>
      <c r="S352" s="224"/>
      <c r="T352" s="292"/>
      <c r="U352" s="292" t="s">
        <v>294</v>
      </c>
      <c r="V352" s="223"/>
      <c r="W352" s="210"/>
      <c r="X352" s="223">
        <v>20000</v>
      </c>
      <c r="Y352" s="224" t="s">
        <v>2291</v>
      </c>
      <c r="Z352" s="223">
        <f>20000+20000</f>
        <v>40000</v>
      </c>
      <c r="AA352" s="224" t="s">
        <v>2185</v>
      </c>
      <c r="AB352" s="223">
        <v>100000</v>
      </c>
      <c r="AC352" s="168" t="s">
        <v>3169</v>
      </c>
      <c r="AD352" s="223">
        <v>640000</v>
      </c>
      <c r="AE352" s="224" t="s">
        <v>624</v>
      </c>
      <c r="AF352" s="168"/>
      <c r="AG352" s="168"/>
      <c r="AH352" s="223">
        <f t="shared" si="45"/>
        <v>800000</v>
      </c>
      <c r="AK352" s="171">
        <f t="shared" si="49"/>
        <v>0</v>
      </c>
      <c r="AL352" s="295" t="s">
        <v>4926</v>
      </c>
      <c r="AM352" s="329" t="s">
        <v>3284</v>
      </c>
      <c r="AN352" s="339"/>
      <c r="AO352" s="125">
        <f t="shared" si="46"/>
        <v>800000</v>
      </c>
      <c r="AP352" s="166">
        <f>0.4%+0.02%+0.08%</f>
        <v>0.005</v>
      </c>
      <c r="AQ352" s="283">
        <f t="shared" si="47"/>
        <v>100</v>
      </c>
      <c r="AR352" s="223"/>
      <c r="AS352" s="223"/>
      <c r="AT352" s="223"/>
      <c r="AU352" s="223"/>
      <c r="AV352" s="223"/>
      <c r="AW352" s="223">
        <v>100</v>
      </c>
      <c r="AX352" s="223"/>
      <c r="AY352" s="223"/>
      <c r="AZ352" s="223"/>
      <c r="BA352" s="300"/>
      <c r="BB352" s="223"/>
      <c r="BC352" s="300"/>
      <c r="BD352" s="125">
        <v>160000</v>
      </c>
      <c r="BE352" s="125">
        <v>640000</v>
      </c>
      <c r="CI352" s="125" t="s">
        <v>260</v>
      </c>
      <c r="CJ352" s="125" t="s">
        <v>271</v>
      </c>
      <c r="CK352" s="125" t="s">
        <v>261</v>
      </c>
    </row>
    <row r="353" s="125" customFormat="1" customHeight="1" spans="1:89">
      <c r="A353" s="174">
        <v>281</v>
      </c>
      <c r="C353" s="168">
        <v>45566</v>
      </c>
      <c r="D353" s="125">
        <v>20240005456</v>
      </c>
      <c r="F353" s="295" t="s">
        <v>4927</v>
      </c>
      <c r="G353" s="174" t="s">
        <v>4928</v>
      </c>
      <c r="H353" s="1038" t="s">
        <v>4929</v>
      </c>
      <c r="I353" s="284" t="s">
        <v>4930</v>
      </c>
      <c r="J353" s="125">
        <v>147.09</v>
      </c>
      <c r="K353" s="125">
        <v>147.09</v>
      </c>
      <c r="L353" s="125">
        <v>5848.49</v>
      </c>
      <c r="M353" s="282">
        <v>860255</v>
      </c>
      <c r="N353" s="223">
        <v>5848.49</v>
      </c>
      <c r="O353" s="165">
        <v>789224.77</v>
      </c>
      <c r="P353" s="295" t="s">
        <v>4931</v>
      </c>
      <c r="Q353" s="210">
        <v>45908</v>
      </c>
      <c r="R353" s="223"/>
      <c r="S353" s="224"/>
      <c r="T353" s="174"/>
      <c r="U353" s="224" t="s">
        <v>370</v>
      </c>
      <c r="V353" s="223">
        <v>20000</v>
      </c>
      <c r="W353" s="224" t="s">
        <v>481</v>
      </c>
      <c r="X353" s="223">
        <v>75255</v>
      </c>
      <c r="Y353" s="224" t="s">
        <v>3676</v>
      </c>
      <c r="Z353" s="223">
        <v>200000</v>
      </c>
      <c r="AA353" s="224" t="s">
        <v>258</v>
      </c>
      <c r="AB353" s="223">
        <v>300000</v>
      </c>
      <c r="AC353" s="224" t="s">
        <v>4932</v>
      </c>
      <c r="AD353" s="223">
        <v>100000</v>
      </c>
      <c r="AE353" s="224" t="s">
        <v>4933</v>
      </c>
      <c r="AF353" s="168">
        <v>165000</v>
      </c>
      <c r="AG353" s="168" t="s">
        <v>3252</v>
      </c>
      <c r="AH353" s="223">
        <f t="shared" si="45"/>
        <v>860255</v>
      </c>
      <c r="AK353" s="171">
        <f t="shared" si="49"/>
        <v>0</v>
      </c>
      <c r="AL353" s="295" t="s">
        <v>4934</v>
      </c>
      <c r="AM353" s="329"/>
      <c r="AN353" s="339"/>
      <c r="AO353" s="125">
        <f t="shared" si="46"/>
        <v>860255</v>
      </c>
      <c r="AP353" s="166">
        <f>0.4%+0.02%+0.12%</f>
        <v>0.0054</v>
      </c>
      <c r="AQ353" s="283">
        <f t="shared" si="47"/>
        <v>0</v>
      </c>
      <c r="AR353" s="223"/>
      <c r="AS353" s="223"/>
      <c r="AT353" s="223"/>
      <c r="AU353" s="223"/>
      <c r="AV353" s="223"/>
      <c r="AW353" s="223"/>
      <c r="AX353" s="223"/>
      <c r="AY353" s="223"/>
      <c r="AZ353" s="223"/>
      <c r="BA353" s="300"/>
      <c r="BB353" s="223"/>
      <c r="BC353" s="300"/>
      <c r="BT353" s="125">
        <v>860255</v>
      </c>
      <c r="CI353" s="125" t="s">
        <v>260</v>
      </c>
      <c r="CK353" s="125" t="s">
        <v>261</v>
      </c>
    </row>
    <row r="354" s="125" customFormat="1" customHeight="1" spans="1:89">
      <c r="A354" s="174">
        <v>282</v>
      </c>
      <c r="C354" s="168">
        <v>45273</v>
      </c>
      <c r="D354" s="125">
        <v>20230010358</v>
      </c>
      <c r="F354" s="295" t="s">
        <v>4935</v>
      </c>
      <c r="G354" s="174" t="s">
        <v>4868</v>
      </c>
      <c r="H354" s="1038" t="s">
        <v>4936</v>
      </c>
      <c r="I354" s="281" t="s">
        <v>4937</v>
      </c>
      <c r="J354" s="125">
        <v>137.88</v>
      </c>
      <c r="K354" s="125">
        <v>137.88</v>
      </c>
      <c r="L354" s="125">
        <v>5863.42</v>
      </c>
      <c r="M354" s="282">
        <v>808448</v>
      </c>
      <c r="N354" s="223">
        <v>5863.42</v>
      </c>
      <c r="O354" s="165">
        <v>741695.41</v>
      </c>
      <c r="P354" s="295" t="s">
        <v>4938</v>
      </c>
      <c r="Q354" s="210">
        <v>45908</v>
      </c>
      <c r="R354" s="223"/>
      <c r="S354" s="224"/>
      <c r="T354" s="174"/>
      <c r="U354" s="224" t="s">
        <v>370</v>
      </c>
      <c r="V354" s="223">
        <v>20000</v>
      </c>
      <c r="W354" s="168" t="s">
        <v>1500</v>
      </c>
      <c r="X354" s="223">
        <v>115448</v>
      </c>
      <c r="Y354" s="224" t="s">
        <v>4939</v>
      </c>
      <c r="Z354" s="174">
        <v>33000</v>
      </c>
      <c r="AA354" s="210" t="s">
        <v>4940</v>
      </c>
      <c r="AB354" s="223">
        <v>640000</v>
      </c>
      <c r="AC354" s="224" t="s">
        <v>3872</v>
      </c>
      <c r="AD354" s="168"/>
      <c r="AE354" s="168"/>
      <c r="AF354" s="168"/>
      <c r="AG354" s="168"/>
      <c r="AH354" s="223">
        <f t="shared" si="45"/>
        <v>808448</v>
      </c>
      <c r="AK354" s="171">
        <f t="shared" ref="AK354:AK360" si="50">M354-AH354</f>
        <v>0</v>
      </c>
      <c r="AL354" s="295" t="s">
        <v>4941</v>
      </c>
      <c r="AM354" s="329"/>
      <c r="AN354" s="339"/>
      <c r="AO354" s="125">
        <f t="shared" si="46"/>
        <v>808448</v>
      </c>
      <c r="AP354" s="166">
        <f>0.7%+0.02%+0.08%</f>
        <v>0.008</v>
      </c>
      <c r="AQ354" s="283">
        <f t="shared" si="47"/>
        <v>0</v>
      </c>
      <c r="AR354" s="223"/>
      <c r="AS354" s="223"/>
      <c r="AT354" s="223"/>
      <c r="AU354" s="223"/>
      <c r="AV354" s="223"/>
      <c r="AW354" s="223"/>
      <c r="AX354" s="223"/>
      <c r="AY354" s="223"/>
      <c r="AZ354" s="223"/>
      <c r="BA354" s="300"/>
      <c r="BB354" s="223"/>
      <c r="BC354" s="300"/>
      <c r="BD354" s="125">
        <v>168448</v>
      </c>
      <c r="BF354" s="125">
        <v>640000</v>
      </c>
      <c r="CI354" s="125" t="s">
        <v>260</v>
      </c>
      <c r="CJ354" s="125" t="s">
        <v>271</v>
      </c>
      <c r="CK354" s="125" t="s">
        <v>261</v>
      </c>
    </row>
    <row r="355" s="125" customFormat="1" customHeight="1" spans="1:89">
      <c r="A355" s="174">
        <v>283</v>
      </c>
      <c r="C355" s="168">
        <v>45360</v>
      </c>
      <c r="D355" s="125">
        <v>20240001236</v>
      </c>
      <c r="F355" s="295" t="s">
        <v>4942</v>
      </c>
      <c r="G355" s="174" t="s">
        <v>4943</v>
      </c>
      <c r="H355" s="1038" t="s">
        <v>4944</v>
      </c>
      <c r="I355" s="284" t="s">
        <v>4945</v>
      </c>
      <c r="J355" s="125">
        <v>147.09</v>
      </c>
      <c r="K355" s="125">
        <v>147.09</v>
      </c>
      <c r="L355" s="125">
        <v>5922.84</v>
      </c>
      <c r="M355" s="282">
        <v>871191</v>
      </c>
      <c r="N355" s="223">
        <v>5922.84</v>
      </c>
      <c r="O355" s="165">
        <v>799257.8</v>
      </c>
      <c r="P355" s="295" t="s">
        <v>4946</v>
      </c>
      <c r="Q355" s="210">
        <v>45908</v>
      </c>
      <c r="R355" s="223"/>
      <c r="S355" s="224"/>
      <c r="T355" s="174"/>
      <c r="U355" s="224" t="s">
        <v>722</v>
      </c>
      <c r="V355" s="223">
        <v>20000</v>
      </c>
      <c r="W355" s="224" t="s">
        <v>3695</v>
      </c>
      <c r="X355" s="223">
        <f>240000+2191</f>
        <v>242191</v>
      </c>
      <c r="Y355" s="224" t="s">
        <v>4270</v>
      </c>
      <c r="Z355" s="174">
        <v>609000</v>
      </c>
      <c r="AA355" s="210" t="s">
        <v>3649</v>
      </c>
      <c r="AB355" s="223"/>
      <c r="AC355" s="168"/>
      <c r="AD355" s="168"/>
      <c r="AE355" s="168"/>
      <c r="AF355" s="168"/>
      <c r="AG355" s="168"/>
      <c r="AH355" s="223">
        <f t="shared" si="45"/>
        <v>871191</v>
      </c>
      <c r="AK355" s="171">
        <f t="shared" si="50"/>
        <v>0</v>
      </c>
      <c r="AL355" s="295" t="s">
        <v>4947</v>
      </c>
      <c r="AM355" s="329"/>
      <c r="AN355" s="339"/>
      <c r="AO355" s="125">
        <f t="shared" si="46"/>
        <v>871191</v>
      </c>
      <c r="AP355" s="166">
        <f>0.4%+0.12%</f>
        <v>0.0052</v>
      </c>
      <c r="AQ355" s="283">
        <f t="shared" si="47"/>
        <v>0</v>
      </c>
      <c r="AR355" s="223"/>
      <c r="AS355" s="223"/>
      <c r="AT355" s="223"/>
      <c r="AU355" s="223"/>
      <c r="AV355" s="223"/>
      <c r="AW355" s="223"/>
      <c r="AX355" s="223"/>
      <c r="AY355" s="223"/>
      <c r="AZ355" s="223"/>
      <c r="BA355" s="300"/>
      <c r="BB355" s="223"/>
      <c r="BC355" s="300"/>
      <c r="BG355" s="125">
        <v>871191</v>
      </c>
      <c r="CI355" s="125" t="s">
        <v>260</v>
      </c>
      <c r="CJ355" s="125" t="s">
        <v>271</v>
      </c>
      <c r="CK355" s="125" t="s">
        <v>261</v>
      </c>
    </row>
    <row r="356" s="125" customFormat="1" customHeight="1" spans="1:89">
      <c r="A356" s="174">
        <v>284</v>
      </c>
      <c r="C356" s="168">
        <v>45198</v>
      </c>
      <c r="D356" s="125">
        <v>20230008236</v>
      </c>
      <c r="F356" s="295" t="s">
        <v>4948</v>
      </c>
      <c r="G356" s="174" t="s">
        <v>4949</v>
      </c>
      <c r="H356" s="174"/>
      <c r="I356" s="281" t="s">
        <v>4950</v>
      </c>
      <c r="J356" s="125">
        <v>137.88</v>
      </c>
      <c r="K356" s="125">
        <v>137.88</v>
      </c>
      <c r="L356" s="125">
        <v>5937.765</v>
      </c>
      <c r="M356" s="282">
        <v>818699</v>
      </c>
      <c r="N356" s="223">
        <v>5937.76</v>
      </c>
      <c r="O356" s="165">
        <v>751100</v>
      </c>
      <c r="P356" s="295" t="s">
        <v>4951</v>
      </c>
      <c r="Q356" s="210">
        <v>45908</v>
      </c>
      <c r="R356" s="223"/>
      <c r="S356" s="224"/>
      <c r="T356" s="1038" t="s">
        <v>2961</v>
      </c>
      <c r="U356" s="224" t="s">
        <v>380</v>
      </c>
      <c r="V356" s="223">
        <f>10000-10000</f>
        <v>0</v>
      </c>
      <c r="W356" s="224" t="s">
        <v>2769</v>
      </c>
      <c r="X356" s="223">
        <v>28699</v>
      </c>
      <c r="Y356" s="224" t="s">
        <v>455</v>
      </c>
      <c r="Z356" s="223">
        <v>140000</v>
      </c>
      <c r="AA356" s="224" t="s">
        <v>948</v>
      </c>
      <c r="AB356" s="223">
        <v>650000</v>
      </c>
      <c r="AC356" s="224" t="s">
        <v>827</v>
      </c>
      <c r="AD356" s="168"/>
      <c r="AE356" s="168"/>
      <c r="AF356" s="168"/>
      <c r="AG356" s="168"/>
      <c r="AH356" s="223">
        <f t="shared" si="45"/>
        <v>818699</v>
      </c>
      <c r="AK356" s="171">
        <f t="shared" si="50"/>
        <v>0</v>
      </c>
      <c r="AL356" s="295" t="s">
        <v>4952</v>
      </c>
      <c r="AM356" s="329"/>
      <c r="AN356" s="339"/>
      <c r="AO356" s="125">
        <f t="shared" si="46"/>
        <v>818699</v>
      </c>
      <c r="AP356" s="166">
        <f>0.6%+0.04%+0.12%</f>
        <v>0.0076</v>
      </c>
      <c r="AQ356" s="283">
        <f t="shared" si="47"/>
        <v>300</v>
      </c>
      <c r="AR356" s="283">
        <v>100</v>
      </c>
      <c r="AS356" s="223"/>
      <c r="AT356" s="223"/>
      <c r="AU356" s="223"/>
      <c r="AV356" s="223"/>
      <c r="AW356" s="223"/>
      <c r="AX356" s="223">
        <v>200</v>
      </c>
      <c r="AY356" s="223"/>
      <c r="AZ356" s="223"/>
      <c r="BA356" s="300"/>
      <c r="BB356" s="223">
        <v>168699</v>
      </c>
      <c r="BC356" s="300">
        <v>650000</v>
      </c>
      <c r="CI356" s="125" t="s">
        <v>260</v>
      </c>
      <c r="CJ356" s="125" t="s">
        <v>271</v>
      </c>
      <c r="CK356" s="125" t="s">
        <v>261</v>
      </c>
    </row>
    <row r="357" s="125" customFormat="1" ht="47" customHeight="1" spans="1:89">
      <c r="A357" s="174">
        <v>285</v>
      </c>
      <c r="C357" s="168">
        <v>45280</v>
      </c>
      <c r="D357" s="125">
        <v>20230010500</v>
      </c>
      <c r="F357" s="295" t="s">
        <v>4953</v>
      </c>
      <c r="G357" s="292" t="s">
        <v>4954</v>
      </c>
      <c r="H357" s="1038" t="s">
        <v>4955</v>
      </c>
      <c r="I357" s="284" t="s">
        <v>4956</v>
      </c>
      <c r="J357" s="125">
        <v>147.09</v>
      </c>
      <c r="K357" s="125">
        <v>147.09</v>
      </c>
      <c r="L357" s="125">
        <v>5991.75</v>
      </c>
      <c r="M357" s="282">
        <v>881328</v>
      </c>
      <c r="N357" s="223">
        <v>5991.75</v>
      </c>
      <c r="O357" s="165">
        <v>808557.8</v>
      </c>
      <c r="P357" s="295" t="s">
        <v>4957</v>
      </c>
      <c r="Q357" s="210">
        <v>45908</v>
      </c>
      <c r="R357" s="223"/>
      <c r="S357" s="224"/>
      <c r="T357" s="1039" t="s">
        <v>4958</v>
      </c>
      <c r="U357" s="286" t="s">
        <v>4959</v>
      </c>
      <c r="V357" s="223">
        <f>10000-10000</f>
        <v>0</v>
      </c>
      <c r="W357" s="224" t="s">
        <v>2516</v>
      </c>
      <c r="X357" s="223">
        <v>10000</v>
      </c>
      <c r="Y357" s="224" t="s">
        <v>1985</v>
      </c>
      <c r="Z357" s="174">
        <v>10000</v>
      </c>
      <c r="AA357" s="210" t="s">
        <v>455</v>
      </c>
      <c r="AB357" s="223">
        <v>171328</v>
      </c>
      <c r="AC357" s="224" t="s">
        <v>333</v>
      </c>
      <c r="AD357" s="223">
        <v>690000</v>
      </c>
      <c r="AE357" s="224" t="s">
        <v>2714</v>
      </c>
      <c r="AF357" s="168"/>
      <c r="AG357" s="168"/>
      <c r="AH357" s="223">
        <f t="shared" si="45"/>
        <v>881328</v>
      </c>
      <c r="AK357" s="171">
        <f t="shared" si="50"/>
        <v>0</v>
      </c>
      <c r="AL357" s="295" t="s">
        <v>4960</v>
      </c>
      <c r="AM357" s="329"/>
      <c r="AN357" s="339"/>
      <c r="AO357" s="125">
        <f t="shared" si="46"/>
        <v>881328</v>
      </c>
      <c r="AP357" s="166">
        <f t="shared" ref="AP357:AP359" si="51">0.7%+0.12%</f>
        <v>0.0082</v>
      </c>
      <c r="AQ357" s="283">
        <f t="shared" si="47"/>
        <v>400</v>
      </c>
      <c r="AR357" s="223"/>
      <c r="AS357" s="223"/>
      <c r="AT357" s="223"/>
      <c r="AU357" s="223"/>
      <c r="AV357" s="223"/>
      <c r="AW357" s="223">
        <v>100</v>
      </c>
      <c r="AX357" s="223">
        <f>100+200</f>
        <v>300</v>
      </c>
      <c r="AY357" s="223"/>
      <c r="AZ357" s="223"/>
      <c r="BB357" s="223"/>
      <c r="BD357" s="125">
        <v>191328</v>
      </c>
      <c r="BF357" s="125">
        <v>690000</v>
      </c>
      <c r="CI357" s="125" t="s">
        <v>260</v>
      </c>
      <c r="CJ357" s="125" t="s">
        <v>271</v>
      </c>
      <c r="CK357" s="125" t="s">
        <v>261</v>
      </c>
    </row>
    <row r="358" s="125" customFormat="1" customHeight="1" spans="1:89">
      <c r="A358" s="174">
        <v>286</v>
      </c>
      <c r="C358" s="168">
        <v>45417</v>
      </c>
      <c r="D358" s="125">
        <v>20240002622</v>
      </c>
      <c r="F358" s="295" t="s">
        <v>4961</v>
      </c>
      <c r="G358" s="174" t="s">
        <v>4962</v>
      </c>
      <c r="H358" s="1038" t="s">
        <v>4963</v>
      </c>
      <c r="I358" s="281" t="s">
        <v>4964</v>
      </c>
      <c r="J358" s="125">
        <v>137.88</v>
      </c>
      <c r="K358" s="125">
        <v>137.88</v>
      </c>
      <c r="L358" s="125">
        <v>6000</v>
      </c>
      <c r="M358" s="282">
        <v>827280</v>
      </c>
      <c r="N358" s="223">
        <v>6000</v>
      </c>
      <c r="O358" s="165">
        <v>758972.48</v>
      </c>
      <c r="P358" s="295" t="s">
        <v>4965</v>
      </c>
      <c r="Q358" s="210">
        <v>45908</v>
      </c>
      <c r="R358" s="223"/>
      <c r="S358" s="224"/>
      <c r="T358" s="174"/>
      <c r="U358" s="224" t="s">
        <v>267</v>
      </c>
      <c r="V358" s="223">
        <v>10000</v>
      </c>
      <c r="W358" s="224" t="s">
        <v>455</v>
      </c>
      <c r="X358" s="223">
        <v>157280</v>
      </c>
      <c r="Y358" s="224" t="s">
        <v>598</v>
      </c>
      <c r="Z358" s="223">
        <v>660000</v>
      </c>
      <c r="AA358" s="224" t="s">
        <v>3946</v>
      </c>
      <c r="AB358" s="223"/>
      <c r="AC358" s="168"/>
      <c r="AD358" s="168"/>
      <c r="AE358" s="168"/>
      <c r="AF358" s="168"/>
      <c r="AG358" s="168"/>
      <c r="AH358" s="223">
        <f t="shared" si="45"/>
        <v>827280</v>
      </c>
      <c r="AK358" s="171">
        <f t="shared" si="50"/>
        <v>0</v>
      </c>
      <c r="AL358" s="295" t="s">
        <v>4966</v>
      </c>
      <c r="AM358" s="329"/>
      <c r="AN358" s="339"/>
      <c r="AO358" s="125">
        <f t="shared" si="46"/>
        <v>827280</v>
      </c>
      <c r="AP358" s="166">
        <f t="shared" si="51"/>
        <v>0.0082</v>
      </c>
      <c r="AQ358" s="283">
        <f t="shared" si="47"/>
        <v>100</v>
      </c>
      <c r="AR358" s="283">
        <v>100</v>
      </c>
      <c r="AS358" s="223"/>
      <c r="AT358" s="223"/>
      <c r="AU358" s="223"/>
      <c r="AV358" s="223"/>
      <c r="AW358" s="223"/>
      <c r="AX358" s="223"/>
      <c r="AY358" s="223"/>
      <c r="AZ358" s="223"/>
      <c r="BA358" s="300"/>
      <c r="BB358" s="223"/>
      <c r="BC358" s="300"/>
      <c r="BI358" s="125">
        <v>167280</v>
      </c>
      <c r="BL358" s="125">
        <v>660000</v>
      </c>
      <c r="CI358" s="125" t="s">
        <v>260</v>
      </c>
      <c r="CJ358" s="125" t="s">
        <v>271</v>
      </c>
      <c r="CK358" s="125" t="s">
        <v>261</v>
      </c>
    </row>
    <row r="359" s="125" customFormat="1" customHeight="1" spans="1:89">
      <c r="A359" s="174">
        <v>287</v>
      </c>
      <c r="C359" s="168">
        <v>45204</v>
      </c>
      <c r="D359" s="125">
        <v>20230008703</v>
      </c>
      <c r="F359" s="295" t="s">
        <v>4967</v>
      </c>
      <c r="G359" s="174" t="s">
        <v>4858</v>
      </c>
      <c r="H359" s="1038" t="s">
        <v>4968</v>
      </c>
      <c r="I359" s="281" t="s">
        <v>4969</v>
      </c>
      <c r="J359" s="125">
        <v>147.09</v>
      </c>
      <c r="K359" s="125">
        <v>147.09</v>
      </c>
      <c r="L359" s="125">
        <v>6040.67</v>
      </c>
      <c r="M359" s="282">
        <v>888523</v>
      </c>
      <c r="N359" s="223">
        <v>6040.67</v>
      </c>
      <c r="O359" s="165">
        <v>815158.72</v>
      </c>
      <c r="P359" s="295" t="s">
        <v>4970</v>
      </c>
      <c r="Q359" s="210">
        <v>45908</v>
      </c>
      <c r="R359" s="223"/>
      <c r="S359" s="224"/>
      <c r="T359" s="174"/>
      <c r="U359" s="224" t="s">
        <v>267</v>
      </c>
      <c r="V359" s="223">
        <v>20000</v>
      </c>
      <c r="W359" s="224" t="s">
        <v>455</v>
      </c>
      <c r="X359" s="223">
        <v>736023</v>
      </c>
      <c r="Y359" s="210" t="s">
        <v>471</v>
      </c>
      <c r="Z359" s="174">
        <v>132500</v>
      </c>
      <c r="AA359" s="210" t="s">
        <v>679</v>
      </c>
      <c r="AB359" s="223"/>
      <c r="AC359" s="168"/>
      <c r="AD359" s="168"/>
      <c r="AE359" s="168"/>
      <c r="AF359" s="168"/>
      <c r="AG359" s="168"/>
      <c r="AH359" s="223">
        <f t="shared" si="45"/>
        <v>888523</v>
      </c>
      <c r="AK359" s="171">
        <f t="shared" si="50"/>
        <v>0</v>
      </c>
      <c r="AL359" s="295" t="s">
        <v>4971</v>
      </c>
      <c r="AM359" s="329"/>
      <c r="AN359" s="339"/>
      <c r="AO359" s="125">
        <f t="shared" si="46"/>
        <v>888523</v>
      </c>
      <c r="AP359" s="166">
        <f t="shared" si="51"/>
        <v>0.0082</v>
      </c>
      <c r="AQ359" s="283">
        <f t="shared" si="47"/>
        <v>200</v>
      </c>
      <c r="AR359" s="223"/>
      <c r="AS359" s="223"/>
      <c r="AT359" s="223"/>
      <c r="AU359" s="223"/>
      <c r="AV359" s="223"/>
      <c r="AW359" s="223"/>
      <c r="AX359" s="223">
        <v>200</v>
      </c>
      <c r="AY359" s="223"/>
      <c r="AZ359" s="223"/>
      <c r="BA359" s="300"/>
      <c r="BB359" s="223">
        <v>888523</v>
      </c>
      <c r="BC359" s="300"/>
      <c r="CI359" s="125" t="s">
        <v>260</v>
      </c>
      <c r="CJ359" s="125" t="s">
        <v>271</v>
      </c>
      <c r="CK359" s="125" t="s">
        <v>261</v>
      </c>
    </row>
    <row r="360" s="125" customFormat="1" customHeight="1" spans="1:89">
      <c r="A360" s="174">
        <v>288</v>
      </c>
      <c r="C360" s="168">
        <v>45255</v>
      </c>
      <c r="D360" s="125">
        <v>20230009916</v>
      </c>
      <c r="F360" s="295" t="s">
        <v>4972</v>
      </c>
      <c r="G360" s="174" t="s">
        <v>4973</v>
      </c>
      <c r="H360" s="1038" t="s">
        <v>4974</v>
      </c>
      <c r="I360" s="284" t="s">
        <v>4975</v>
      </c>
      <c r="J360" s="125">
        <v>137.88</v>
      </c>
      <c r="K360" s="125">
        <v>137.88</v>
      </c>
      <c r="L360" s="125">
        <v>6055.59</v>
      </c>
      <c r="M360" s="282">
        <v>834945</v>
      </c>
      <c r="N360" s="223">
        <v>6055.59</v>
      </c>
      <c r="O360" s="165">
        <v>766004.59</v>
      </c>
      <c r="P360" s="295" t="s">
        <v>4976</v>
      </c>
      <c r="Q360" s="210">
        <v>45908</v>
      </c>
      <c r="R360" s="223"/>
      <c r="S360" s="224"/>
      <c r="T360" s="1038" t="s">
        <v>4977</v>
      </c>
      <c r="U360" s="224" t="s">
        <v>370</v>
      </c>
      <c r="V360" s="223">
        <v>10000</v>
      </c>
      <c r="W360" s="224" t="s">
        <v>1456</v>
      </c>
      <c r="X360" s="223">
        <v>10000</v>
      </c>
      <c r="Y360" s="224" t="s">
        <v>4213</v>
      </c>
      <c r="Z360" s="174">
        <v>154945</v>
      </c>
      <c r="AA360" s="210" t="s">
        <v>473</v>
      </c>
      <c r="AB360" s="223">
        <v>660000</v>
      </c>
      <c r="AC360" s="224" t="s">
        <v>4978</v>
      </c>
      <c r="AD360" s="168"/>
      <c r="AE360" s="168"/>
      <c r="AF360" s="168"/>
      <c r="AG360" s="168"/>
      <c r="AH360" s="223">
        <f t="shared" si="45"/>
        <v>834945</v>
      </c>
      <c r="AK360" s="171">
        <f t="shared" si="50"/>
        <v>0</v>
      </c>
      <c r="AL360" s="295"/>
      <c r="AM360" s="329"/>
      <c r="AN360" s="339"/>
      <c r="AO360" s="125">
        <f t="shared" si="46"/>
        <v>834945</v>
      </c>
      <c r="AP360" s="166">
        <f>0.7%+0.02%+0.08%</f>
        <v>0.008</v>
      </c>
      <c r="AQ360" s="283">
        <f t="shared" si="47"/>
        <v>100</v>
      </c>
      <c r="AR360" s="283">
        <v>100</v>
      </c>
      <c r="AS360" s="223"/>
      <c r="AT360" s="223"/>
      <c r="AU360" s="223"/>
      <c r="AV360" s="223"/>
      <c r="AW360" s="223"/>
      <c r="AX360" s="223"/>
      <c r="AY360" s="223"/>
      <c r="AZ360" s="223"/>
      <c r="BB360" s="223"/>
      <c r="BC360" s="125">
        <v>174945</v>
      </c>
      <c r="BF360" s="125">
        <v>660000</v>
      </c>
      <c r="CI360" s="125" t="s">
        <v>260</v>
      </c>
      <c r="CJ360" s="125" t="s">
        <v>271</v>
      </c>
      <c r="CK360" s="125" t="s">
        <v>261</v>
      </c>
    </row>
    <row r="361" s="125" customFormat="1" customHeight="1" spans="1:89">
      <c r="A361" s="174">
        <v>289</v>
      </c>
      <c r="C361" s="168">
        <v>45199</v>
      </c>
      <c r="D361" s="125">
        <v>20230008368</v>
      </c>
      <c r="F361" s="295" t="s">
        <v>4979</v>
      </c>
      <c r="G361" s="174" t="s">
        <v>4980</v>
      </c>
      <c r="H361" s="1038" t="s">
        <v>4909</v>
      </c>
      <c r="I361" s="284" t="s">
        <v>4981</v>
      </c>
      <c r="J361" s="125">
        <v>147.09</v>
      </c>
      <c r="K361" s="125">
        <v>147.09</v>
      </c>
      <c r="L361" s="125">
        <v>6067.84</v>
      </c>
      <c r="M361" s="282">
        <v>892519</v>
      </c>
      <c r="N361" s="223">
        <v>6067.84</v>
      </c>
      <c r="O361" s="165">
        <v>818824.77</v>
      </c>
      <c r="P361" s="295" t="s">
        <v>4982</v>
      </c>
      <c r="Q361" s="210">
        <v>45908</v>
      </c>
      <c r="R361" s="223"/>
      <c r="S361" s="224"/>
      <c r="T361" s="1038" t="s">
        <v>1813</v>
      </c>
      <c r="U361" s="224" t="s">
        <v>294</v>
      </c>
      <c r="V361" s="223">
        <f>10000-10000</f>
        <v>0</v>
      </c>
      <c r="W361" s="224" t="s">
        <v>1624</v>
      </c>
      <c r="X361" s="223">
        <v>10000</v>
      </c>
      <c r="Y361" s="224" t="s">
        <v>455</v>
      </c>
      <c r="Z361" s="223">
        <v>60519</v>
      </c>
      <c r="AA361" s="224" t="s">
        <v>314</v>
      </c>
      <c r="AB361" s="223">
        <v>75900</v>
      </c>
      <c r="AC361" s="168" t="s">
        <v>680</v>
      </c>
      <c r="AD361" s="168">
        <f>36100+11000</f>
        <v>47100</v>
      </c>
      <c r="AE361" s="168" t="s">
        <v>1625</v>
      </c>
      <c r="AF361" s="223">
        <v>699000</v>
      </c>
      <c r="AG361" s="224" t="s">
        <v>4983</v>
      </c>
      <c r="AH361" s="223">
        <f t="shared" si="45"/>
        <v>892519</v>
      </c>
      <c r="AK361" s="171">
        <f t="shared" ref="AK361:AK368" si="52">M361-AH361</f>
        <v>0</v>
      </c>
      <c r="AL361" s="295" t="s">
        <v>4984</v>
      </c>
      <c r="AM361" s="329"/>
      <c r="AN361" s="339"/>
      <c r="AO361" s="125">
        <f t="shared" si="46"/>
        <v>892519</v>
      </c>
      <c r="AP361" s="166">
        <f>0.6%+0.04%+0.12%</f>
        <v>0.0076</v>
      </c>
      <c r="AQ361" s="283">
        <f t="shared" si="47"/>
        <v>300</v>
      </c>
      <c r="AR361" s="223"/>
      <c r="AS361" s="223"/>
      <c r="AT361" s="223"/>
      <c r="AU361" s="223"/>
      <c r="AV361" s="223"/>
      <c r="AW361" s="223">
        <v>100</v>
      </c>
      <c r="AX361" s="223">
        <v>200</v>
      </c>
      <c r="AY361" s="223"/>
      <c r="AZ361" s="223"/>
      <c r="BA361" s="300"/>
      <c r="BB361" s="223">
        <v>193519</v>
      </c>
      <c r="BC361" s="300">
        <v>699000</v>
      </c>
      <c r="CI361" s="125" t="s">
        <v>260</v>
      </c>
      <c r="CJ361" s="125" t="s">
        <v>271</v>
      </c>
      <c r="CK361" s="125" t="s">
        <v>261</v>
      </c>
    </row>
    <row r="362" s="125" customFormat="1" ht="45" customHeight="1" spans="1:89">
      <c r="A362" s="174">
        <v>290</v>
      </c>
      <c r="C362" s="168">
        <v>45304</v>
      </c>
      <c r="D362" s="125">
        <v>20240000310</v>
      </c>
      <c r="F362" s="295" t="s">
        <v>4985</v>
      </c>
      <c r="G362" s="292" t="s">
        <v>4986</v>
      </c>
      <c r="H362" s="174"/>
      <c r="I362" s="281" t="s">
        <v>4987</v>
      </c>
      <c r="J362" s="125">
        <v>137.88</v>
      </c>
      <c r="K362" s="125">
        <v>137.88</v>
      </c>
      <c r="L362" s="125">
        <v>6082.76</v>
      </c>
      <c r="M362" s="282">
        <v>838692</v>
      </c>
      <c r="N362" s="223">
        <v>6082.76</v>
      </c>
      <c r="O362" s="165">
        <v>769442.2</v>
      </c>
      <c r="P362" s="295" t="s">
        <v>4988</v>
      </c>
      <c r="Q362" s="210">
        <v>45908</v>
      </c>
      <c r="R362" s="223"/>
      <c r="S362" s="224"/>
      <c r="T362" s="292" t="s">
        <v>4989</v>
      </c>
      <c r="U362" s="286" t="s">
        <v>4990</v>
      </c>
      <c r="V362" s="223">
        <f>10000-10000</f>
        <v>0</v>
      </c>
      <c r="W362" s="224"/>
      <c r="X362" s="223">
        <v>20000</v>
      </c>
      <c r="Y362" s="224" t="s">
        <v>322</v>
      </c>
      <c r="Z362" s="223">
        <v>20000</v>
      </c>
      <c r="AA362" s="224" t="s">
        <v>2185</v>
      </c>
      <c r="AB362" s="223">
        <v>128692</v>
      </c>
      <c r="AC362" s="224" t="s">
        <v>3729</v>
      </c>
      <c r="AD362" s="223">
        <v>670000</v>
      </c>
      <c r="AE362" s="224" t="s">
        <v>3872</v>
      </c>
      <c r="AF362" s="168"/>
      <c r="AG362" s="168"/>
      <c r="AH362" s="223">
        <f t="shared" si="45"/>
        <v>838692</v>
      </c>
      <c r="AK362" s="171">
        <f t="shared" si="52"/>
        <v>0</v>
      </c>
      <c r="AL362" s="295" t="s">
        <v>4991</v>
      </c>
      <c r="AM362" s="329"/>
      <c r="AN362" s="339"/>
      <c r="AO362" s="125">
        <f t="shared" si="46"/>
        <v>838692</v>
      </c>
      <c r="AP362" s="166">
        <f>0.5%+0.02%+0.08%</f>
        <v>0.006</v>
      </c>
      <c r="AQ362" s="283">
        <f t="shared" si="47"/>
        <v>200</v>
      </c>
      <c r="AR362" s="223"/>
      <c r="AS362" s="223"/>
      <c r="AT362" s="223"/>
      <c r="AU362" s="223"/>
      <c r="AV362" s="223">
        <v>100</v>
      </c>
      <c r="AW362" s="223"/>
      <c r="AX362" s="223">
        <v>100</v>
      </c>
      <c r="AY362" s="223"/>
      <c r="AZ362" s="223"/>
      <c r="BA362" s="300"/>
      <c r="BB362" s="223"/>
      <c r="BC362" s="300"/>
      <c r="BE362" s="125">
        <v>168692</v>
      </c>
      <c r="BF362" s="125">
        <v>670000</v>
      </c>
      <c r="CI362" s="125" t="s">
        <v>260</v>
      </c>
      <c r="CJ362" s="125" t="s">
        <v>271</v>
      </c>
      <c r="CK362" s="125" t="s">
        <v>261</v>
      </c>
    </row>
    <row r="363" s="125" customFormat="1" ht="50" customHeight="1" spans="1:89">
      <c r="A363" s="174">
        <v>291</v>
      </c>
      <c r="C363" s="168">
        <v>45204</v>
      </c>
      <c r="D363" s="125">
        <v>20230008636</v>
      </c>
      <c r="F363" s="295" t="s">
        <v>4992</v>
      </c>
      <c r="G363" s="292" t="s">
        <v>4993</v>
      </c>
      <c r="H363" s="1038" t="s">
        <v>4994</v>
      </c>
      <c r="I363" s="284" t="s">
        <v>4995</v>
      </c>
      <c r="J363" s="125">
        <v>147.09</v>
      </c>
      <c r="K363" s="125">
        <v>147.09</v>
      </c>
      <c r="L363" s="125">
        <v>6096.75</v>
      </c>
      <c r="M363" s="282">
        <v>896772</v>
      </c>
      <c r="N363" s="223">
        <v>6096.75</v>
      </c>
      <c r="O363" s="165">
        <v>822726.61</v>
      </c>
      <c r="P363" s="295" t="s">
        <v>4996</v>
      </c>
      <c r="Q363" s="210">
        <v>45908</v>
      </c>
      <c r="R363" s="223"/>
      <c r="S363" s="224"/>
      <c r="T363" s="1038" t="s">
        <v>2191</v>
      </c>
      <c r="U363" s="286" t="s">
        <v>4959</v>
      </c>
      <c r="V363" s="223">
        <f>10000-10000</f>
        <v>0</v>
      </c>
      <c r="W363" s="224" t="s">
        <v>4787</v>
      </c>
      <c r="X363" s="223">
        <v>10000</v>
      </c>
      <c r="Y363" s="224" t="s">
        <v>455</v>
      </c>
      <c r="Z363" s="223">
        <v>156772</v>
      </c>
      <c r="AA363" s="224" t="s">
        <v>471</v>
      </c>
      <c r="AB363" s="223">
        <v>20000</v>
      </c>
      <c r="AC363" s="224" t="s">
        <v>436</v>
      </c>
      <c r="AD363" s="174">
        <v>8000</v>
      </c>
      <c r="AE363" s="168" t="s">
        <v>4614</v>
      </c>
      <c r="AF363" s="223">
        <v>702000</v>
      </c>
      <c r="AG363" s="224" t="s">
        <v>4744</v>
      </c>
      <c r="AH363" s="223">
        <f t="shared" si="45"/>
        <v>896772</v>
      </c>
      <c r="AK363" s="171">
        <f t="shared" si="52"/>
        <v>0</v>
      </c>
      <c r="AL363" s="295" t="s">
        <v>4997</v>
      </c>
      <c r="AM363" s="329"/>
      <c r="AN363" s="339"/>
      <c r="AO363" s="125">
        <f t="shared" si="46"/>
        <v>896772</v>
      </c>
      <c r="AP363" s="166">
        <f>0.6%+0.04%+0.12%</f>
        <v>0.0076</v>
      </c>
      <c r="AQ363" s="283">
        <f t="shared" si="47"/>
        <v>300</v>
      </c>
      <c r="AR363" s="223"/>
      <c r="AS363" s="223"/>
      <c r="AT363" s="223"/>
      <c r="AU363" s="223"/>
      <c r="AV363" s="223"/>
      <c r="AW363" s="223">
        <v>100</v>
      </c>
      <c r="AX363" s="223">
        <v>200</v>
      </c>
      <c r="AY363" s="223"/>
      <c r="AZ363" s="223"/>
      <c r="BA363" s="300"/>
      <c r="BB363" s="223"/>
      <c r="BC363" s="300">
        <v>194772</v>
      </c>
      <c r="BD363" s="125">
        <v>702000</v>
      </c>
      <c r="CI363" s="125" t="s">
        <v>260</v>
      </c>
      <c r="CJ363" s="125" t="s">
        <v>271</v>
      </c>
      <c r="CK363" s="125" t="s">
        <v>261</v>
      </c>
    </row>
    <row r="364" s="125" customFormat="1" customHeight="1" spans="1:89">
      <c r="A364" s="174">
        <v>292</v>
      </c>
      <c r="C364" s="210">
        <v>45292</v>
      </c>
      <c r="D364" s="125">
        <v>20240000114</v>
      </c>
      <c r="F364" s="295" t="s">
        <v>4998</v>
      </c>
      <c r="G364" s="292" t="s">
        <v>4999</v>
      </c>
      <c r="H364" s="1038" t="s">
        <v>5000</v>
      </c>
      <c r="I364" s="284" t="s">
        <v>5001</v>
      </c>
      <c r="J364" s="125">
        <v>137.88</v>
      </c>
      <c r="K364" s="125">
        <v>137.88</v>
      </c>
      <c r="L364" s="125">
        <v>6114.01</v>
      </c>
      <c r="M364" s="282">
        <v>843000</v>
      </c>
      <c r="N364" s="223">
        <v>6111.68</v>
      </c>
      <c r="O364" s="165">
        <v>773394.5</v>
      </c>
      <c r="P364" s="295" t="s">
        <v>5002</v>
      </c>
      <c r="Q364" s="210">
        <v>45916</v>
      </c>
      <c r="R364" s="223"/>
      <c r="S364" s="224"/>
      <c r="T364" s="1038" t="s">
        <v>2762</v>
      </c>
      <c r="U364" s="224" t="s">
        <v>370</v>
      </c>
      <c r="V364" s="223">
        <f>10000-10000</f>
        <v>0</v>
      </c>
      <c r="W364" s="224" t="s">
        <v>5003</v>
      </c>
      <c r="X364" s="223">
        <v>20000</v>
      </c>
      <c r="Y364" s="224" t="s">
        <v>566</v>
      </c>
      <c r="Z364" s="174">
        <v>103000</v>
      </c>
      <c r="AA364" s="210" t="s">
        <v>3324</v>
      </c>
      <c r="AB364" s="223">
        <v>50000</v>
      </c>
      <c r="AC364" s="168" t="s">
        <v>5004</v>
      </c>
      <c r="AD364" s="223">
        <v>670000</v>
      </c>
      <c r="AE364" s="224" t="s">
        <v>3752</v>
      </c>
      <c r="AF364" s="168"/>
      <c r="AG364" s="168"/>
      <c r="AH364" s="223">
        <f t="shared" si="45"/>
        <v>843000</v>
      </c>
      <c r="AK364" s="171">
        <f t="shared" si="52"/>
        <v>0</v>
      </c>
      <c r="AL364" s="295" t="s">
        <v>5005</v>
      </c>
      <c r="AM364" s="329"/>
      <c r="AN364" s="339"/>
      <c r="AO364" s="125">
        <f t="shared" si="46"/>
        <v>843000</v>
      </c>
      <c r="AP364" s="169">
        <f>0.4%+0.03%+0.08%</f>
        <v>0.0051</v>
      </c>
      <c r="AQ364" s="283">
        <f t="shared" si="47"/>
        <v>100</v>
      </c>
      <c r="AR364" s="283">
        <v>100</v>
      </c>
      <c r="AS364" s="223"/>
      <c r="AT364" s="223"/>
      <c r="AU364" s="223"/>
      <c r="AV364" s="223"/>
      <c r="AW364" s="223"/>
      <c r="AX364" s="223"/>
      <c r="AY364" s="223"/>
      <c r="AZ364" s="223"/>
      <c r="BA364" s="300"/>
      <c r="BB364" s="223"/>
      <c r="BC364" s="300"/>
      <c r="BE364" s="125">
        <v>173000</v>
      </c>
      <c r="BG364" s="125">
        <v>670000</v>
      </c>
      <c r="CI364" s="125" t="s">
        <v>260</v>
      </c>
      <c r="CJ364" s="125" t="s">
        <v>271</v>
      </c>
      <c r="CK364" s="125" t="s">
        <v>261</v>
      </c>
    </row>
    <row r="365" s="125" customFormat="1" customHeight="1" spans="1:89">
      <c r="A365" s="174">
        <v>293</v>
      </c>
      <c r="C365" s="168">
        <v>45463</v>
      </c>
      <c r="D365" s="125">
        <v>20240003533</v>
      </c>
      <c r="F365" s="295" t="s">
        <v>5006</v>
      </c>
      <c r="G365" s="174" t="s">
        <v>5007</v>
      </c>
      <c r="H365" s="1038" t="s">
        <v>5008</v>
      </c>
      <c r="I365" s="284" t="s">
        <v>5009</v>
      </c>
      <c r="J365" s="125">
        <v>147.09</v>
      </c>
      <c r="K365" s="125">
        <v>147.09</v>
      </c>
      <c r="L365" s="125">
        <f>M365/K365</f>
        <v>6118.70283499898</v>
      </c>
      <c r="M365" s="282">
        <v>900000</v>
      </c>
      <c r="N365" s="223">
        <v>6118.49</v>
      </c>
      <c r="O365" s="165">
        <v>825688.07</v>
      </c>
      <c r="P365" s="295" t="s">
        <v>5010</v>
      </c>
      <c r="Q365" s="210">
        <v>45873</v>
      </c>
      <c r="R365" s="223"/>
      <c r="T365" s="1037" t="s">
        <v>4994</v>
      </c>
      <c r="U365" s="125" t="s">
        <v>294</v>
      </c>
      <c r="V365" s="125">
        <v>2000</v>
      </c>
      <c r="W365" s="125" t="s">
        <v>5011</v>
      </c>
      <c r="X365" s="223">
        <v>18000</v>
      </c>
      <c r="Y365" s="210" t="s">
        <v>4199</v>
      </c>
      <c r="Z365" s="125">
        <v>160000</v>
      </c>
      <c r="AA365" s="125" t="s">
        <v>3802</v>
      </c>
      <c r="AB365" s="223">
        <v>45000</v>
      </c>
      <c r="AC365" s="168" t="s">
        <v>3802</v>
      </c>
      <c r="AD365" s="213">
        <v>675000</v>
      </c>
      <c r="AE365" s="168" t="s">
        <v>5012</v>
      </c>
      <c r="AF365" s="168"/>
      <c r="AG365" s="168"/>
      <c r="AH365" s="223">
        <f t="shared" si="45"/>
        <v>900000</v>
      </c>
      <c r="AK365" s="171">
        <f t="shared" si="52"/>
        <v>0</v>
      </c>
      <c r="AL365" s="295" t="s">
        <v>5013</v>
      </c>
      <c r="AM365" s="329"/>
      <c r="AN365" s="339"/>
      <c r="AO365" s="125">
        <f t="shared" si="46"/>
        <v>900000</v>
      </c>
      <c r="AP365" s="166">
        <f>0.7%+0.12%</f>
        <v>0.0082</v>
      </c>
      <c r="AQ365" s="283">
        <f t="shared" si="47"/>
        <v>0</v>
      </c>
      <c r="AR365" s="223"/>
      <c r="AS365" s="223"/>
      <c r="AT365" s="223"/>
      <c r="AU365" s="223"/>
      <c r="AV365" s="223"/>
      <c r="AW365" s="223"/>
      <c r="AX365" s="223"/>
      <c r="AY365" s="223"/>
      <c r="AZ365" s="223"/>
      <c r="BA365" s="300"/>
      <c r="BB365" s="223"/>
      <c r="BC365" s="300"/>
      <c r="BJ365" s="125">
        <v>900000</v>
      </c>
      <c r="CI365" s="125" t="s">
        <v>260</v>
      </c>
      <c r="CJ365" s="125" t="s">
        <v>271</v>
      </c>
      <c r="CK365" s="125" t="s">
        <v>261</v>
      </c>
    </row>
    <row r="366" s="125" customFormat="1" ht="46" customHeight="1" spans="1:89">
      <c r="A366" s="174">
        <v>294</v>
      </c>
      <c r="C366" s="168">
        <v>45204</v>
      </c>
      <c r="D366" s="125">
        <v>20230008640</v>
      </c>
      <c r="F366" s="295" t="s">
        <v>5014</v>
      </c>
      <c r="G366" s="292" t="s">
        <v>5015</v>
      </c>
      <c r="H366" s="1038" t="s">
        <v>5016</v>
      </c>
      <c r="I366" s="281" t="s">
        <v>5017</v>
      </c>
      <c r="J366" s="125">
        <v>137.88</v>
      </c>
      <c r="K366" s="125">
        <v>137.88</v>
      </c>
      <c r="L366" s="125">
        <v>6133.42</v>
      </c>
      <c r="M366" s="282">
        <v>845676</v>
      </c>
      <c r="N366" s="223">
        <v>6133.42</v>
      </c>
      <c r="O366" s="165">
        <v>775849.54</v>
      </c>
      <c r="P366" s="295" t="s">
        <v>5018</v>
      </c>
      <c r="Q366" s="210">
        <v>45908</v>
      </c>
      <c r="R366" s="223"/>
      <c r="S366" s="224"/>
      <c r="T366" s="1038" t="s">
        <v>5019</v>
      </c>
      <c r="U366" s="286" t="s">
        <v>5020</v>
      </c>
      <c r="V366" s="223">
        <f>10000-10000</f>
        <v>0</v>
      </c>
      <c r="W366" s="224" t="s">
        <v>2047</v>
      </c>
      <c r="X366" s="223">
        <v>10000</v>
      </c>
      <c r="Y366" s="224" t="s">
        <v>455</v>
      </c>
      <c r="Z366" s="223">
        <v>65000</v>
      </c>
      <c r="AA366" s="224" t="s">
        <v>2797</v>
      </c>
      <c r="AB366" s="223">
        <f>120000+676</f>
        <v>120676</v>
      </c>
      <c r="AC366" s="168" t="s">
        <v>1863</v>
      </c>
      <c r="AD366" s="213">
        <v>10000</v>
      </c>
      <c r="AE366" s="168" t="s">
        <v>4459</v>
      </c>
      <c r="AF366" s="223">
        <f>190000+450000</f>
        <v>640000</v>
      </c>
      <c r="AG366" s="286" t="s">
        <v>5021</v>
      </c>
      <c r="AH366" s="223">
        <f t="shared" si="45"/>
        <v>845676</v>
      </c>
      <c r="AK366" s="171">
        <f t="shared" si="52"/>
        <v>0</v>
      </c>
      <c r="AL366" s="295" t="s">
        <v>5022</v>
      </c>
      <c r="AM366" s="329"/>
      <c r="AN366" s="339"/>
      <c r="AO366" s="125">
        <f t="shared" si="46"/>
        <v>845676</v>
      </c>
      <c r="AP366" s="166">
        <f>0.7%+0.02%+0.12%</f>
        <v>0.0084</v>
      </c>
      <c r="AQ366" s="283">
        <f t="shared" si="47"/>
        <v>300</v>
      </c>
      <c r="AR366" s="223"/>
      <c r="AS366" s="223"/>
      <c r="AT366" s="223"/>
      <c r="AU366" s="223">
        <v>100</v>
      </c>
      <c r="AV366" s="223"/>
      <c r="AW366" s="223"/>
      <c r="AX366" s="223">
        <v>200</v>
      </c>
      <c r="AY366" s="223"/>
      <c r="AZ366" s="223"/>
      <c r="BA366" s="300"/>
      <c r="BB366" s="223"/>
      <c r="BC366" s="300">
        <v>395676</v>
      </c>
      <c r="BD366" s="125">
        <v>450000</v>
      </c>
      <c r="CI366" s="125" t="s">
        <v>260</v>
      </c>
      <c r="CJ366" s="125" t="s">
        <v>271</v>
      </c>
      <c r="CK366" s="125" t="s">
        <v>261</v>
      </c>
    </row>
    <row r="367" s="125" customFormat="1" ht="49" customHeight="1" spans="1:89">
      <c r="A367" s="174">
        <v>295</v>
      </c>
      <c r="C367" s="168">
        <v>45398</v>
      </c>
      <c r="D367" s="125">
        <v>20240002103</v>
      </c>
      <c r="F367" s="295" t="s">
        <v>5023</v>
      </c>
      <c r="G367" s="292" t="s">
        <v>5024</v>
      </c>
      <c r="H367" s="174"/>
      <c r="I367" s="284" t="s">
        <v>5025</v>
      </c>
      <c r="J367" s="125">
        <v>147.09</v>
      </c>
      <c r="K367" s="125">
        <v>147.09</v>
      </c>
      <c r="L367" s="125">
        <v>7160</v>
      </c>
      <c r="M367" s="282">
        <v>1053164</v>
      </c>
      <c r="N367" s="223">
        <v>7159</v>
      </c>
      <c r="O367" s="165">
        <v>966205.5</v>
      </c>
      <c r="P367" s="295" t="s">
        <v>5026</v>
      </c>
      <c r="Q367" s="210">
        <v>45908</v>
      </c>
      <c r="R367" s="223"/>
      <c r="S367" s="224"/>
      <c r="T367" s="292"/>
      <c r="U367" s="286" t="s">
        <v>561</v>
      </c>
      <c r="V367" s="223">
        <v>20000</v>
      </c>
      <c r="W367" s="224" t="s">
        <v>3872</v>
      </c>
      <c r="X367" s="223">
        <v>300000</v>
      </c>
      <c r="Y367" s="336" t="s">
        <v>5027</v>
      </c>
      <c r="Z367" s="223">
        <v>733164</v>
      </c>
      <c r="AA367" s="224" t="s">
        <v>5011</v>
      </c>
      <c r="AB367" s="223"/>
      <c r="AC367" s="336"/>
      <c r="AD367" s="223"/>
      <c r="AE367" s="224"/>
      <c r="AF367" s="168"/>
      <c r="AG367" s="168"/>
      <c r="AH367" s="223">
        <f t="shared" si="45"/>
        <v>1053164</v>
      </c>
      <c r="AK367" s="171">
        <f t="shared" si="52"/>
        <v>0</v>
      </c>
      <c r="AL367" s="295" t="s">
        <v>5028</v>
      </c>
      <c r="AM367" s="329"/>
      <c r="AN367" s="339"/>
      <c r="AO367" s="125">
        <f t="shared" si="46"/>
        <v>1053164</v>
      </c>
      <c r="AP367" s="169">
        <f>0.7%+0.05%+0.14%</f>
        <v>0.0089</v>
      </c>
      <c r="AQ367" s="283">
        <f t="shared" si="47"/>
        <v>200</v>
      </c>
      <c r="AR367" s="283">
        <v>100</v>
      </c>
      <c r="AS367" s="223"/>
      <c r="AT367" s="223"/>
      <c r="AU367" s="223"/>
      <c r="AV367" s="223">
        <v>100</v>
      </c>
      <c r="AW367" s="223"/>
      <c r="AX367" s="223"/>
      <c r="AY367" s="223"/>
      <c r="AZ367" s="223"/>
      <c r="BA367" s="300"/>
      <c r="BB367" s="223"/>
      <c r="BC367" s="300"/>
      <c r="BH367" s="125">
        <v>1053164</v>
      </c>
      <c r="CI367" s="125" t="s">
        <v>260</v>
      </c>
      <c r="CJ367" s="125" t="s">
        <v>271</v>
      </c>
      <c r="CK367" s="125" t="s">
        <v>261</v>
      </c>
    </row>
    <row r="368" s="125" customFormat="1" customHeight="1" spans="1:89">
      <c r="A368" s="174">
        <v>296</v>
      </c>
      <c r="B368" s="125"/>
      <c r="C368" s="168">
        <v>45675</v>
      </c>
      <c r="D368" s="125">
        <v>20250000335</v>
      </c>
      <c r="F368" s="295" t="s">
        <v>5029</v>
      </c>
      <c r="G368" s="292" t="s">
        <v>5030</v>
      </c>
      <c r="H368" s="174"/>
      <c r="I368" s="281" t="s">
        <v>5031</v>
      </c>
      <c r="J368" s="125">
        <v>137.88</v>
      </c>
      <c r="K368" s="125">
        <v>137.88</v>
      </c>
      <c r="L368" s="125">
        <v>7034.21</v>
      </c>
      <c r="M368" s="282">
        <v>969877</v>
      </c>
      <c r="N368" s="223">
        <v>7107.63</v>
      </c>
      <c r="O368" s="165">
        <v>889795.41</v>
      </c>
      <c r="P368" s="295" t="s">
        <v>5032</v>
      </c>
      <c r="Q368" s="210">
        <v>45908</v>
      </c>
      <c r="R368" s="223"/>
      <c r="S368" s="224"/>
      <c r="T368" s="174"/>
      <c r="U368" s="224" t="s">
        <v>370</v>
      </c>
      <c r="V368" s="223">
        <f>49877+20000</f>
        <v>69877</v>
      </c>
      <c r="W368" s="224" t="s">
        <v>5033</v>
      </c>
      <c r="X368" s="223">
        <v>150000</v>
      </c>
      <c r="Y368" s="224" t="s">
        <v>373</v>
      </c>
      <c r="Z368" s="223">
        <v>750000</v>
      </c>
      <c r="AA368" s="224" t="s">
        <v>2676</v>
      </c>
      <c r="AB368" s="223"/>
      <c r="AC368" s="168"/>
      <c r="AD368" s="168"/>
      <c r="AE368" s="168"/>
      <c r="AF368" s="168"/>
      <c r="AG368" s="168"/>
      <c r="AH368" s="223">
        <f t="shared" si="45"/>
        <v>969877</v>
      </c>
      <c r="AK368" s="171">
        <f t="shared" si="52"/>
        <v>0</v>
      </c>
      <c r="AL368" s="295" t="s">
        <v>5034</v>
      </c>
      <c r="AM368" s="329" t="s">
        <v>3284</v>
      </c>
      <c r="AN368" s="339"/>
      <c r="AO368" s="125">
        <f t="shared" si="46"/>
        <v>969877</v>
      </c>
      <c r="AP368" s="169">
        <f>0.7%+0.04%+0.1%+0.03%</f>
        <v>0.0087</v>
      </c>
      <c r="AQ368" s="283">
        <f t="shared" si="47"/>
        <v>0</v>
      </c>
      <c r="AR368" s="223"/>
      <c r="AS368" s="223"/>
      <c r="AT368" s="223"/>
      <c r="AU368" s="223"/>
      <c r="AV368" s="223"/>
      <c r="AW368" s="223"/>
      <c r="AX368" s="223"/>
      <c r="AY368" s="223"/>
      <c r="AZ368" s="223"/>
      <c r="BB368" s="223"/>
      <c r="BR368" s="125">
        <v>219877</v>
      </c>
      <c r="BS368" s="125">
        <v>750000</v>
      </c>
      <c r="CI368" s="125" t="s">
        <v>260</v>
      </c>
      <c r="CK368" s="125" t="s">
        <v>261</v>
      </c>
    </row>
    <row r="369" s="125" customFormat="1" customHeight="1" spans="1:89">
      <c r="A369" s="174">
        <v>297</v>
      </c>
      <c r="C369" s="168">
        <v>45201</v>
      </c>
      <c r="D369" s="125">
        <v>20230008511</v>
      </c>
      <c r="F369" s="295" t="s">
        <v>5035</v>
      </c>
      <c r="G369" s="174" t="s">
        <v>5036</v>
      </c>
      <c r="H369" s="1038" t="s">
        <v>5037</v>
      </c>
      <c r="I369" s="284" t="s">
        <v>5038</v>
      </c>
      <c r="J369" s="125">
        <v>140.45</v>
      </c>
      <c r="K369" s="125">
        <v>140.45</v>
      </c>
      <c r="L369" s="125">
        <v>8246</v>
      </c>
      <c r="M369" s="282">
        <v>1158151</v>
      </c>
      <c r="N369" s="223">
        <v>8246</v>
      </c>
      <c r="O369" s="165">
        <v>1062523.85</v>
      </c>
      <c r="P369" s="295" t="s">
        <v>5039</v>
      </c>
      <c r="Q369" s="210">
        <v>45910</v>
      </c>
      <c r="R369" s="223"/>
      <c r="S369" s="224"/>
      <c r="T369" s="1038" t="s">
        <v>1948</v>
      </c>
      <c r="U369" s="224" t="s">
        <v>561</v>
      </c>
      <c r="V369" s="223">
        <v>10000</v>
      </c>
      <c r="W369" s="224" t="s">
        <v>1509</v>
      </c>
      <c r="X369" s="223">
        <v>10000</v>
      </c>
      <c r="Y369" s="224" t="s">
        <v>455</v>
      </c>
      <c r="Z369" s="223">
        <f>30000+57151</f>
        <v>87151</v>
      </c>
      <c r="AA369" s="224" t="s">
        <v>314</v>
      </c>
      <c r="AB369" s="223">
        <v>100000</v>
      </c>
      <c r="AC369" s="224" t="s">
        <v>305</v>
      </c>
      <c r="AD369" s="223">
        <v>25000</v>
      </c>
      <c r="AE369" s="224" t="s">
        <v>355</v>
      </c>
      <c r="AF369" s="174">
        <v>926000</v>
      </c>
      <c r="AG369" s="168" t="s">
        <v>4939</v>
      </c>
      <c r="AH369" s="223">
        <f t="shared" si="45"/>
        <v>1158151</v>
      </c>
      <c r="AK369" s="171">
        <f t="shared" ref="AK369:AK376" si="53">M369-AH369</f>
        <v>0</v>
      </c>
      <c r="AL369" s="295" t="s">
        <v>5040</v>
      </c>
      <c r="AM369" s="329"/>
      <c r="AN369" s="339"/>
      <c r="AO369" s="125">
        <f t="shared" si="46"/>
        <v>1158151</v>
      </c>
      <c r="AP369" s="166">
        <f>0.7%+0.04%+0.12%</f>
        <v>0.0086</v>
      </c>
      <c r="AQ369" s="283">
        <f t="shared" si="47"/>
        <v>300</v>
      </c>
      <c r="AR369" s="223"/>
      <c r="AS369" s="223"/>
      <c r="AT369" s="223">
        <v>100</v>
      </c>
      <c r="AU369" s="223"/>
      <c r="AV369" s="223"/>
      <c r="AW369" s="223"/>
      <c r="AX369" s="223">
        <v>200</v>
      </c>
      <c r="AY369" s="223"/>
      <c r="AZ369" s="223"/>
      <c r="BB369" s="223"/>
      <c r="BD369" s="125">
        <v>1158151</v>
      </c>
      <c r="CI369" s="125" t="s">
        <v>260</v>
      </c>
      <c r="CJ369" s="125" t="s">
        <v>271</v>
      </c>
      <c r="CK369" s="125" t="s">
        <v>261</v>
      </c>
    </row>
    <row r="370" s="125" customFormat="1" ht="46" customHeight="1" spans="1:89">
      <c r="A370" s="174">
        <v>298</v>
      </c>
      <c r="C370" s="168">
        <v>45417</v>
      </c>
      <c r="D370" s="125">
        <v>20240002580</v>
      </c>
      <c r="F370" s="295" t="s">
        <v>5041</v>
      </c>
      <c r="G370" s="292" t="s">
        <v>5042</v>
      </c>
      <c r="H370" s="1038" t="s">
        <v>5043</v>
      </c>
      <c r="I370" s="281" t="s">
        <v>5044</v>
      </c>
      <c r="J370" s="125">
        <v>141.05</v>
      </c>
      <c r="K370" s="125">
        <v>141.05</v>
      </c>
      <c r="L370" s="125">
        <v>8231.1</v>
      </c>
      <c r="M370" s="282">
        <v>1161000</v>
      </c>
      <c r="N370" s="223">
        <v>8227</v>
      </c>
      <c r="O370" s="165">
        <v>1065137.61</v>
      </c>
      <c r="P370" s="295" t="s">
        <v>5045</v>
      </c>
      <c r="Q370" s="210">
        <v>45911</v>
      </c>
      <c r="R370" s="223"/>
      <c r="S370" s="224"/>
      <c r="T370" s="292"/>
      <c r="U370" s="286" t="s">
        <v>277</v>
      </c>
      <c r="V370" s="223">
        <v>20000</v>
      </c>
      <c r="W370" s="224" t="s">
        <v>964</v>
      </c>
      <c r="X370" s="223">
        <f>422000+719000</f>
        <v>1141000</v>
      </c>
      <c r="Y370" s="224" t="s">
        <v>965</v>
      </c>
      <c r="Z370" s="223"/>
      <c r="AA370" s="224"/>
      <c r="AB370" s="223"/>
      <c r="AC370" s="168"/>
      <c r="AD370" s="168"/>
      <c r="AE370" s="168"/>
      <c r="AF370" s="168"/>
      <c r="AG370" s="168"/>
      <c r="AH370" s="223">
        <f t="shared" si="45"/>
        <v>1161000</v>
      </c>
      <c r="AK370" s="171">
        <f t="shared" si="53"/>
        <v>0</v>
      </c>
      <c r="AL370" s="295" t="s">
        <v>5046</v>
      </c>
      <c r="AM370" s="329"/>
      <c r="AN370" s="339"/>
      <c r="AO370" s="125">
        <f t="shared" si="46"/>
        <v>1161000</v>
      </c>
      <c r="AP370" s="169">
        <f>0.7%+0.03%+0.08%</f>
        <v>0.0081</v>
      </c>
      <c r="AQ370" s="283">
        <f t="shared" si="47"/>
        <v>400</v>
      </c>
      <c r="AR370" s="223"/>
      <c r="AS370" s="223"/>
      <c r="AT370" s="223"/>
      <c r="AU370" s="223">
        <v>100</v>
      </c>
      <c r="AV370" s="223"/>
      <c r="AW370" s="223">
        <v>100</v>
      </c>
      <c r="AX370" s="223">
        <v>200</v>
      </c>
      <c r="AY370" s="223"/>
      <c r="AZ370" s="223"/>
      <c r="BB370" s="223"/>
      <c r="BI370" s="125">
        <v>1161000</v>
      </c>
      <c r="CI370" s="125" t="s">
        <v>260</v>
      </c>
      <c r="CJ370" s="125" t="s">
        <v>271</v>
      </c>
      <c r="CK370" s="125" t="s">
        <v>261</v>
      </c>
    </row>
    <row r="371" s="125" customFormat="1" customHeight="1" spans="1:89">
      <c r="A371" s="174">
        <v>299</v>
      </c>
      <c r="B371" s="125"/>
      <c r="C371" s="168">
        <v>45570</v>
      </c>
      <c r="D371" s="125">
        <v>20240005865</v>
      </c>
      <c r="F371" s="295" t="s">
        <v>5047</v>
      </c>
      <c r="G371" s="174" t="s">
        <v>5048</v>
      </c>
      <c r="H371" s="174"/>
      <c r="I371" s="284" t="s">
        <v>5049</v>
      </c>
      <c r="J371" s="125">
        <v>137.88</v>
      </c>
      <c r="K371" s="125">
        <v>137.88</v>
      </c>
      <c r="L371" s="125">
        <v>5475.776</v>
      </c>
      <c r="M371" s="282">
        <v>755000</v>
      </c>
      <c r="N371" s="223">
        <v>5475.776</v>
      </c>
      <c r="O371" s="165">
        <v>692660.55</v>
      </c>
      <c r="P371" s="295" t="s">
        <v>5050</v>
      </c>
      <c r="Q371" s="210">
        <v>45910</v>
      </c>
      <c r="R371" s="223"/>
      <c r="S371" s="224"/>
      <c r="T371" s="174"/>
      <c r="U371" s="224" t="s">
        <v>294</v>
      </c>
      <c r="V371" s="223">
        <v>41000</v>
      </c>
      <c r="W371" s="224" t="s">
        <v>400</v>
      </c>
      <c r="X371" s="223">
        <f>60000+50000</f>
        <v>110000</v>
      </c>
      <c r="Y371" s="224" t="s">
        <v>385</v>
      </c>
      <c r="Z371" s="174">
        <v>604000</v>
      </c>
      <c r="AA371" s="210" t="s">
        <v>393</v>
      </c>
      <c r="AB371" s="223"/>
      <c r="AC371" s="168"/>
      <c r="AD371" s="168"/>
      <c r="AE371" s="168"/>
      <c r="AF371" s="168"/>
      <c r="AG371" s="168"/>
      <c r="AH371" s="223">
        <f t="shared" si="45"/>
        <v>755000</v>
      </c>
      <c r="AK371" s="171">
        <f t="shared" si="53"/>
        <v>0</v>
      </c>
      <c r="AL371" s="295" t="s">
        <v>5051</v>
      </c>
      <c r="AM371" s="329" t="s">
        <v>3461</v>
      </c>
      <c r="AN371" s="339"/>
      <c r="AO371" s="125">
        <f t="shared" si="46"/>
        <v>755000</v>
      </c>
      <c r="AP371" s="166">
        <f>0.7%+0.08%+0.03%</f>
        <v>0.0081</v>
      </c>
      <c r="AQ371" s="283">
        <f t="shared" si="47"/>
        <v>0</v>
      </c>
      <c r="AR371" s="223"/>
      <c r="AS371" s="223"/>
      <c r="AT371" s="223"/>
      <c r="AU371" s="223"/>
      <c r="AV371" s="223"/>
      <c r="AW371" s="223"/>
      <c r="AX371" s="223"/>
      <c r="AY371" s="223"/>
      <c r="AZ371" s="223"/>
      <c r="BB371" s="223"/>
      <c r="BO371" s="125">
        <v>755000</v>
      </c>
      <c r="CI371" s="125" t="s">
        <v>260</v>
      </c>
      <c r="CK371" s="125" t="s">
        <v>261</v>
      </c>
    </row>
    <row r="372" s="125" customFormat="1" customHeight="1" spans="1:89">
      <c r="A372" s="174">
        <v>300</v>
      </c>
      <c r="B372" s="125"/>
      <c r="C372" s="168">
        <v>45726</v>
      </c>
      <c r="D372" s="125">
        <v>20250001177</v>
      </c>
      <c r="F372" s="295" t="s">
        <v>5052</v>
      </c>
      <c r="G372" s="174" t="s">
        <v>5053</v>
      </c>
      <c r="H372" s="174"/>
      <c r="I372" s="281" t="s">
        <v>5054</v>
      </c>
      <c r="J372" s="125">
        <v>138.37</v>
      </c>
      <c r="K372" s="125">
        <v>138.37</v>
      </c>
      <c r="L372" s="125">
        <v>5500</v>
      </c>
      <c r="M372" s="282">
        <v>761035</v>
      </c>
      <c r="N372" s="223">
        <v>5500</v>
      </c>
      <c r="O372" s="165">
        <v>698197.25</v>
      </c>
      <c r="P372" s="295" t="s">
        <v>5055</v>
      </c>
      <c r="Q372" s="210">
        <v>45910</v>
      </c>
      <c r="R372" s="223"/>
      <c r="S372" s="224"/>
      <c r="T372" s="174"/>
      <c r="U372" s="224" t="s">
        <v>257</v>
      </c>
      <c r="V372" s="223">
        <v>20000</v>
      </c>
      <c r="W372" s="224" t="s">
        <v>780</v>
      </c>
      <c r="X372" s="223">
        <v>211035</v>
      </c>
      <c r="Y372" s="224" t="s">
        <v>3289</v>
      </c>
      <c r="Z372" s="223">
        <v>530000</v>
      </c>
      <c r="AA372" s="224" t="s">
        <v>1028</v>
      </c>
      <c r="AB372" s="223"/>
      <c r="AC372" s="168"/>
      <c r="AD372" s="168"/>
      <c r="AE372" s="168"/>
      <c r="AF372" s="168"/>
      <c r="AG372" s="168"/>
      <c r="AH372" s="223">
        <f t="shared" si="45"/>
        <v>761035</v>
      </c>
      <c r="AK372" s="171">
        <f t="shared" si="53"/>
        <v>0</v>
      </c>
      <c r="AL372" s="295" t="s">
        <v>5056</v>
      </c>
      <c r="AM372" s="329" t="s">
        <v>3332</v>
      </c>
      <c r="AN372" s="339"/>
      <c r="AO372" s="125">
        <f t="shared" si="46"/>
        <v>761035</v>
      </c>
      <c r="AP372" s="166">
        <f>0.7%+0.05%+0.1%+0.03%</f>
        <v>0.0088</v>
      </c>
      <c r="AQ372" s="283">
        <f t="shared" si="47"/>
        <v>0</v>
      </c>
      <c r="AR372" s="223"/>
      <c r="AS372" s="223"/>
      <c r="AT372" s="223"/>
      <c r="AU372" s="223"/>
      <c r="AV372" s="223"/>
      <c r="AW372" s="223"/>
      <c r="AX372" s="223"/>
      <c r="AY372" s="223"/>
      <c r="AZ372" s="223"/>
      <c r="BB372" s="223"/>
      <c r="BS372" s="125">
        <v>231035</v>
      </c>
      <c r="BT372" s="125">
        <v>530000</v>
      </c>
      <c r="CI372" s="125" t="s">
        <v>260</v>
      </c>
      <c r="CK372" s="125" t="s">
        <v>261</v>
      </c>
    </row>
    <row r="373" s="125" customFormat="1" customHeight="1" spans="1:89">
      <c r="A373" s="174">
        <v>301</v>
      </c>
      <c r="C373" s="168">
        <v>45295</v>
      </c>
      <c r="D373" s="125">
        <v>20240000085</v>
      </c>
      <c r="F373" s="1038" t="s">
        <v>5057</v>
      </c>
      <c r="G373" s="174" t="s">
        <v>5058</v>
      </c>
      <c r="H373" s="1038" t="s">
        <v>5059</v>
      </c>
      <c r="I373" s="284" t="s">
        <v>5060</v>
      </c>
      <c r="J373" s="125">
        <v>137.88</v>
      </c>
      <c r="K373" s="125">
        <v>137.88</v>
      </c>
      <c r="L373" s="125">
        <v>5840</v>
      </c>
      <c r="M373" s="282">
        <v>805219</v>
      </c>
      <c r="N373" s="223">
        <v>5824.29</v>
      </c>
      <c r="O373" s="165">
        <v>738733.03</v>
      </c>
      <c r="P373" s="295" t="s">
        <v>5061</v>
      </c>
      <c r="Q373" s="210">
        <v>45910</v>
      </c>
      <c r="R373" s="223"/>
      <c r="S373" s="224"/>
      <c r="T373" s="174"/>
      <c r="U373" s="224" t="s">
        <v>2160</v>
      </c>
      <c r="V373" s="223">
        <v>20000</v>
      </c>
      <c r="W373" s="224" t="s">
        <v>609</v>
      </c>
      <c r="X373" s="223">
        <v>5219</v>
      </c>
      <c r="Y373" s="210" t="s">
        <v>492</v>
      </c>
      <c r="Z373" s="223">
        <v>65000</v>
      </c>
      <c r="AA373" s="224" t="s">
        <v>611</v>
      </c>
      <c r="AB373" s="223">
        <v>75000</v>
      </c>
      <c r="AC373" s="168" t="s">
        <v>611</v>
      </c>
      <c r="AD373" s="223">
        <v>640000</v>
      </c>
      <c r="AE373" s="224" t="s">
        <v>3809</v>
      </c>
      <c r="AF373" s="168"/>
      <c r="AG373" s="168"/>
      <c r="AH373" s="223">
        <f t="shared" si="45"/>
        <v>805219</v>
      </c>
      <c r="AK373" s="171">
        <f t="shared" si="53"/>
        <v>0</v>
      </c>
      <c r="AL373" s="295" t="s">
        <v>5062</v>
      </c>
      <c r="AM373" s="329"/>
      <c r="AN373" s="339"/>
      <c r="AO373" s="125">
        <f t="shared" si="46"/>
        <v>805219</v>
      </c>
      <c r="AP373" s="169">
        <f>0.4%+0.02%+0.08%</f>
        <v>0.005</v>
      </c>
      <c r="AQ373" s="283">
        <f t="shared" si="47"/>
        <v>0</v>
      </c>
      <c r="AR373" s="223"/>
      <c r="AS373" s="223"/>
      <c r="AT373" s="223"/>
      <c r="AU373" s="223"/>
      <c r="AV373" s="223"/>
      <c r="AW373" s="223"/>
      <c r="AX373" s="223"/>
      <c r="AY373" s="223"/>
      <c r="AZ373" s="223"/>
      <c r="BB373" s="223"/>
      <c r="BE373" s="125">
        <v>165219</v>
      </c>
      <c r="BG373" s="125">
        <v>640000</v>
      </c>
      <c r="CI373" s="125" t="s">
        <v>260</v>
      </c>
      <c r="CJ373" s="125" t="s">
        <v>271</v>
      </c>
      <c r="CK373" s="125" t="s">
        <v>261</v>
      </c>
    </row>
    <row r="374" s="125" customFormat="1" customHeight="1" spans="1:89">
      <c r="A374" s="174">
        <v>302</v>
      </c>
      <c r="C374" s="168">
        <v>45509</v>
      </c>
      <c r="D374" s="125">
        <v>20240004487</v>
      </c>
      <c r="F374" s="295" t="s">
        <v>5063</v>
      </c>
      <c r="G374" s="174" t="s">
        <v>5064</v>
      </c>
      <c r="H374" s="1038" t="s">
        <v>5065</v>
      </c>
      <c r="I374" s="284" t="s">
        <v>5066</v>
      </c>
      <c r="J374" s="125">
        <v>138.37</v>
      </c>
      <c r="K374" s="125">
        <v>138.37</v>
      </c>
      <c r="L374" s="125">
        <v>5510</v>
      </c>
      <c r="M374" s="282">
        <v>762419</v>
      </c>
      <c r="N374" s="223">
        <v>5510</v>
      </c>
      <c r="O374" s="165">
        <v>699466.97</v>
      </c>
      <c r="P374" s="295" t="s">
        <v>5067</v>
      </c>
      <c r="Q374" s="210">
        <v>45910</v>
      </c>
      <c r="R374" s="223"/>
      <c r="S374" s="224"/>
      <c r="T374" s="174"/>
      <c r="U374" s="224" t="s">
        <v>294</v>
      </c>
      <c r="V374" s="223">
        <v>10000</v>
      </c>
      <c r="W374" s="224" t="s">
        <v>5068</v>
      </c>
      <c r="X374" s="223">
        <v>50000</v>
      </c>
      <c r="Y374" s="224" t="s">
        <v>5069</v>
      </c>
      <c r="Z374" s="174">
        <v>102419</v>
      </c>
      <c r="AA374" s="210" t="s">
        <v>4697</v>
      </c>
      <c r="AB374" s="223">
        <v>600000</v>
      </c>
      <c r="AC374" s="224" t="s">
        <v>4366</v>
      </c>
      <c r="AD374" s="168"/>
      <c r="AE374" s="168"/>
      <c r="AF374" s="168"/>
      <c r="AG374" s="168"/>
      <c r="AH374" s="223">
        <f t="shared" si="45"/>
        <v>762419</v>
      </c>
      <c r="AK374" s="171">
        <f t="shared" si="53"/>
        <v>0</v>
      </c>
      <c r="AL374" s="295" t="s">
        <v>5070</v>
      </c>
      <c r="AM374" s="329" t="s">
        <v>3839</v>
      </c>
      <c r="AN374" s="339"/>
      <c r="AO374" s="125">
        <f t="shared" si="46"/>
        <v>762419</v>
      </c>
      <c r="AP374" s="169">
        <f>0.7%+0.08%</f>
        <v>0.0078</v>
      </c>
      <c r="AQ374" s="283">
        <f t="shared" si="47"/>
        <v>0</v>
      </c>
      <c r="AR374" s="223"/>
      <c r="AS374" s="223"/>
      <c r="AT374" s="223"/>
      <c r="AU374" s="223"/>
      <c r="AV374" s="223"/>
      <c r="AW374" s="223"/>
      <c r="AX374" s="223"/>
      <c r="AY374" s="223"/>
      <c r="AZ374" s="223"/>
      <c r="BB374" s="223"/>
      <c r="BL374" s="125">
        <v>162419</v>
      </c>
      <c r="BO374" s="125">
        <v>600000</v>
      </c>
      <c r="CI374" s="125" t="s">
        <v>260</v>
      </c>
      <c r="CK374" s="125" t="s">
        <v>261</v>
      </c>
    </row>
    <row r="375" s="125" customFormat="1" customHeight="1" spans="1:89">
      <c r="A375" s="174">
        <v>303</v>
      </c>
      <c r="C375" s="168">
        <v>45296</v>
      </c>
      <c r="D375" s="125">
        <v>20240000115</v>
      </c>
      <c r="F375" s="295" t="s">
        <v>5071</v>
      </c>
      <c r="G375" s="174" t="s">
        <v>4864</v>
      </c>
      <c r="H375" s="1038" t="s">
        <v>5072</v>
      </c>
      <c r="I375" s="284" t="s">
        <v>5073</v>
      </c>
      <c r="J375" s="125">
        <v>137.88</v>
      </c>
      <c r="K375" s="125">
        <v>137.88</v>
      </c>
      <c r="L375" s="125">
        <v>5874.675</v>
      </c>
      <c r="M375" s="282">
        <v>810000</v>
      </c>
      <c r="N375" s="223">
        <v>5856.89</v>
      </c>
      <c r="O375" s="165">
        <v>743119.27</v>
      </c>
      <c r="P375" s="295" t="s">
        <v>5074</v>
      </c>
      <c r="Q375" s="210">
        <v>45908</v>
      </c>
      <c r="R375" s="223"/>
      <c r="S375" s="224"/>
      <c r="T375" s="174"/>
      <c r="U375" s="224" t="s">
        <v>267</v>
      </c>
      <c r="V375" s="223">
        <v>20000</v>
      </c>
      <c r="W375" s="224" t="s">
        <v>566</v>
      </c>
      <c r="X375" s="223">
        <v>280000</v>
      </c>
      <c r="Y375" s="210" t="s">
        <v>3324</v>
      </c>
      <c r="Z375" s="174">
        <v>460000</v>
      </c>
      <c r="AA375" s="210" t="s">
        <v>1539</v>
      </c>
      <c r="AB375" s="223">
        <v>50000</v>
      </c>
      <c r="AC375" s="168" t="s">
        <v>3759</v>
      </c>
      <c r="AD375" s="168"/>
      <c r="AE375" s="168"/>
      <c r="AF375" s="168"/>
      <c r="AG375" s="168"/>
      <c r="AH375" s="223">
        <f t="shared" si="45"/>
        <v>810000</v>
      </c>
      <c r="AK375" s="171">
        <f t="shared" si="53"/>
        <v>0</v>
      </c>
      <c r="AL375" s="295" t="s">
        <v>5075</v>
      </c>
      <c r="AM375" s="329"/>
      <c r="AN375" s="339"/>
      <c r="AO375" s="125">
        <f t="shared" si="46"/>
        <v>810000</v>
      </c>
      <c r="AP375" s="169">
        <f>0.7%+0.08%</f>
        <v>0.0078</v>
      </c>
      <c r="AQ375" s="283">
        <f t="shared" si="47"/>
        <v>0</v>
      </c>
      <c r="AR375" s="223"/>
      <c r="AS375" s="223"/>
      <c r="AT375" s="223"/>
      <c r="AU375" s="223"/>
      <c r="AV375" s="223"/>
      <c r="AW375" s="223"/>
      <c r="AX375" s="223"/>
      <c r="AY375" s="223"/>
      <c r="AZ375" s="223"/>
      <c r="BB375" s="223"/>
      <c r="BE375" s="125">
        <v>810000</v>
      </c>
      <c r="CI375" s="125" t="s">
        <v>260</v>
      </c>
      <c r="CJ375" s="125" t="s">
        <v>271</v>
      </c>
      <c r="CK375" s="125" t="s">
        <v>261</v>
      </c>
    </row>
    <row r="376" s="125" customFormat="1" customHeight="1" spans="1:89">
      <c r="A376" s="174">
        <v>304</v>
      </c>
      <c r="B376" s="125"/>
      <c r="C376" s="168">
        <v>45569</v>
      </c>
      <c r="D376" s="125">
        <v>20240005814</v>
      </c>
      <c r="F376" s="295" t="s">
        <v>5076</v>
      </c>
      <c r="G376" s="174" t="s">
        <v>5077</v>
      </c>
      <c r="H376" s="1038" t="s">
        <v>5078</v>
      </c>
      <c r="I376" s="284" t="s">
        <v>5079</v>
      </c>
      <c r="J376" s="125">
        <v>138.37</v>
      </c>
      <c r="K376" s="125">
        <v>138.37</v>
      </c>
      <c r="L376" s="125">
        <v>5540</v>
      </c>
      <c r="M376" s="282">
        <v>766570</v>
      </c>
      <c r="N376" s="223">
        <v>5540</v>
      </c>
      <c r="O376" s="165">
        <v>703275.23</v>
      </c>
      <c r="P376" s="295" t="s">
        <v>5080</v>
      </c>
      <c r="Q376" s="210">
        <v>45910</v>
      </c>
      <c r="R376" s="223"/>
      <c r="S376" s="224"/>
      <c r="T376" s="174"/>
      <c r="U376" s="224" t="s">
        <v>546</v>
      </c>
      <c r="V376" s="223">
        <v>10000</v>
      </c>
      <c r="W376" s="224">
        <v>45544</v>
      </c>
      <c r="X376" s="223">
        <v>45570</v>
      </c>
      <c r="Y376" s="210">
        <v>45550</v>
      </c>
      <c r="Z376" s="223">
        <v>98000</v>
      </c>
      <c r="AA376" s="224" t="s">
        <v>381</v>
      </c>
      <c r="AB376" s="223">
        <v>613000</v>
      </c>
      <c r="AC376" s="224" t="s">
        <v>2640</v>
      </c>
      <c r="AD376" s="168"/>
      <c r="AE376" s="168"/>
      <c r="AF376" s="168"/>
      <c r="AG376" s="168"/>
      <c r="AH376" s="223">
        <f t="shared" si="45"/>
        <v>766570</v>
      </c>
      <c r="AK376" s="171">
        <f t="shared" si="53"/>
        <v>0</v>
      </c>
      <c r="AL376" s="295" t="s">
        <v>5081</v>
      </c>
      <c r="AM376" s="329" t="s">
        <v>3461</v>
      </c>
      <c r="AN376" s="339"/>
      <c r="AO376" s="125">
        <f t="shared" si="46"/>
        <v>766570</v>
      </c>
      <c r="AP376" s="166">
        <f>0.6%+0.1%</f>
        <v>0.007</v>
      </c>
      <c r="AQ376" s="283">
        <f t="shared" si="47"/>
        <v>0</v>
      </c>
      <c r="AR376" s="223"/>
      <c r="AS376" s="223"/>
      <c r="AT376" s="223"/>
      <c r="AU376" s="223"/>
      <c r="AV376" s="223"/>
      <c r="AW376" s="223"/>
      <c r="AX376" s="223"/>
      <c r="AY376" s="223"/>
      <c r="AZ376" s="223"/>
      <c r="BB376" s="223"/>
      <c r="BN376" s="125">
        <v>153570</v>
      </c>
      <c r="BO376" s="125">
        <v>613000</v>
      </c>
      <c r="BP376" s="125"/>
      <c r="BQ376" s="125"/>
      <c r="BR376" s="125"/>
      <c r="BS376" s="125"/>
      <c r="BT376" s="125"/>
      <c r="BU376" s="125"/>
      <c r="BV376" s="125"/>
      <c r="CI376" s="125" t="s">
        <v>260</v>
      </c>
      <c r="CK376" s="125" t="s">
        <v>261</v>
      </c>
    </row>
    <row r="377" s="125" customFormat="1" customHeight="1" spans="1:89">
      <c r="A377" s="174">
        <v>305</v>
      </c>
      <c r="C377" s="168">
        <v>45198</v>
      </c>
      <c r="D377" s="125">
        <v>20230008287</v>
      </c>
      <c r="F377" s="295" t="s">
        <v>5082</v>
      </c>
      <c r="G377" s="174" t="s">
        <v>5083</v>
      </c>
      <c r="H377" s="1038" t="s">
        <v>5084</v>
      </c>
      <c r="I377" s="284" t="s">
        <v>5085</v>
      </c>
      <c r="J377" s="125">
        <v>137.88</v>
      </c>
      <c r="K377" s="125">
        <v>137.88</v>
      </c>
      <c r="L377" s="125">
        <v>5931.24</v>
      </c>
      <c r="M377" s="282">
        <v>817800</v>
      </c>
      <c r="N377" s="223">
        <v>5931.24</v>
      </c>
      <c r="O377" s="165">
        <v>750275.23</v>
      </c>
      <c r="P377" s="295" t="s">
        <v>5086</v>
      </c>
      <c r="Q377" s="210">
        <v>45908</v>
      </c>
      <c r="R377" s="223"/>
      <c r="S377" s="224"/>
      <c r="T377" s="1038" t="s">
        <v>1765</v>
      </c>
      <c r="U377" s="224" t="s">
        <v>561</v>
      </c>
      <c r="V377" s="223">
        <v>10000</v>
      </c>
      <c r="W377" s="224" t="s">
        <v>2226</v>
      </c>
      <c r="X377" s="223">
        <v>10000</v>
      </c>
      <c r="Y377" s="224" t="s">
        <v>3130</v>
      </c>
      <c r="Z377" s="174">
        <v>143800</v>
      </c>
      <c r="AA377" s="210" t="s">
        <v>455</v>
      </c>
      <c r="AB377" s="223">
        <v>654000</v>
      </c>
      <c r="AC377" s="224" t="s">
        <v>1550</v>
      </c>
      <c r="AD377" s="168"/>
      <c r="AE377" s="168"/>
      <c r="AF377" s="168"/>
      <c r="AG377" s="168"/>
      <c r="AH377" s="223">
        <f t="shared" si="45"/>
        <v>817800</v>
      </c>
      <c r="AK377" s="171">
        <f t="shared" ref="AK377:AK391" si="54">M377-AH377</f>
        <v>0</v>
      </c>
      <c r="AL377" s="295" t="s">
        <v>5087</v>
      </c>
      <c r="AM377" s="329"/>
      <c r="AN377" s="339"/>
      <c r="AO377" s="125">
        <f t="shared" si="46"/>
        <v>817800</v>
      </c>
      <c r="AP377" s="166">
        <f>0.7%+0.04%+0.12%</f>
        <v>0.0086</v>
      </c>
      <c r="AQ377" s="283">
        <f t="shared" si="47"/>
        <v>300</v>
      </c>
      <c r="AR377" s="223"/>
      <c r="AS377" s="223"/>
      <c r="AT377" s="223">
        <v>100</v>
      </c>
      <c r="AU377" s="223"/>
      <c r="AV377" s="223"/>
      <c r="AW377" s="223"/>
      <c r="AX377" s="223">
        <v>200</v>
      </c>
      <c r="AY377" s="223"/>
      <c r="AZ377" s="223"/>
      <c r="BB377" s="223">
        <v>163800</v>
      </c>
      <c r="BC377" s="125">
        <v>654000</v>
      </c>
      <c r="CI377" s="125" t="s">
        <v>260</v>
      </c>
      <c r="CJ377" s="125" t="s">
        <v>271</v>
      </c>
      <c r="CK377" s="125" t="s">
        <v>261</v>
      </c>
    </row>
    <row r="378" s="125" customFormat="1" customHeight="1" spans="1:89">
      <c r="A378" s="174">
        <v>306</v>
      </c>
      <c r="C378" s="168">
        <v>45472</v>
      </c>
      <c r="D378" s="294" t="s">
        <v>5088</v>
      </c>
      <c r="F378" s="295" t="s">
        <v>5089</v>
      </c>
      <c r="G378" s="292" t="s">
        <v>5090</v>
      </c>
      <c r="H378" s="1039" t="s">
        <v>5091</v>
      </c>
      <c r="I378" s="284" t="s">
        <v>5092</v>
      </c>
      <c r="J378" s="125">
        <v>138.37</v>
      </c>
      <c r="K378" s="125">
        <v>138.37</v>
      </c>
      <c r="L378" s="171">
        <f>M378/K378</f>
        <v>5626.1400592614</v>
      </c>
      <c r="M378" s="325">
        <v>778489</v>
      </c>
      <c r="N378" s="326">
        <v>5626.14</v>
      </c>
      <c r="O378" s="327">
        <v>714210.09</v>
      </c>
      <c r="P378" s="294" t="s">
        <v>5093</v>
      </c>
      <c r="Q378" s="328">
        <v>45908</v>
      </c>
      <c r="R378" s="223"/>
      <c r="S378" s="286"/>
      <c r="T378" s="292"/>
      <c r="U378" s="286" t="s">
        <v>257</v>
      </c>
      <c r="V378" s="223">
        <v>20000</v>
      </c>
      <c r="W378" s="286" t="s">
        <v>5094</v>
      </c>
      <c r="X378" s="223">
        <v>178489</v>
      </c>
      <c r="Y378" s="168" t="s">
        <v>5068</v>
      </c>
      <c r="Z378" s="223">
        <v>580000</v>
      </c>
      <c r="AA378" s="286" t="s">
        <v>1048</v>
      </c>
      <c r="AB378" s="223"/>
      <c r="AH378" s="223">
        <f t="shared" si="45"/>
        <v>778489</v>
      </c>
      <c r="AK378" s="171">
        <f t="shared" si="54"/>
        <v>0</v>
      </c>
      <c r="AL378" s="295" t="s">
        <v>5095</v>
      </c>
      <c r="AM378" s="329" t="s">
        <v>3839</v>
      </c>
      <c r="AN378" s="330"/>
      <c r="AO378" s="125">
        <f t="shared" si="46"/>
        <v>778489</v>
      </c>
      <c r="AP378" s="166">
        <f>0.6%+0.03%+0.08%</f>
        <v>0.0071</v>
      </c>
      <c r="AQ378" s="283">
        <f t="shared" si="47"/>
        <v>100</v>
      </c>
      <c r="AR378" s="223"/>
      <c r="AS378" s="223"/>
      <c r="AT378" s="223">
        <v>100</v>
      </c>
      <c r="AU378" s="223"/>
      <c r="AV378" s="223"/>
      <c r="AW378" s="223"/>
      <c r="AX378" s="223"/>
      <c r="AY378" s="223"/>
      <c r="AZ378" s="223"/>
      <c r="BB378" s="223"/>
      <c r="BJ378" s="125">
        <v>198489</v>
      </c>
      <c r="BL378" s="125">
        <v>580000</v>
      </c>
      <c r="CI378" s="125" t="s">
        <v>260</v>
      </c>
      <c r="CJ378" s="125" t="s">
        <v>271</v>
      </c>
      <c r="CK378" s="125" t="s">
        <v>261</v>
      </c>
    </row>
    <row r="379" s="125" customFormat="1" customHeight="1" spans="1:89">
      <c r="A379" s="174">
        <v>307</v>
      </c>
      <c r="C379" s="168">
        <v>45204</v>
      </c>
      <c r="D379" s="125">
        <v>20230008678</v>
      </c>
      <c r="F379" s="295" t="s">
        <v>5096</v>
      </c>
      <c r="G379" s="292" t="s">
        <v>5097</v>
      </c>
      <c r="H379" s="292"/>
      <c r="I379" s="284" t="s">
        <v>5098</v>
      </c>
      <c r="J379" s="125">
        <v>137.88</v>
      </c>
      <c r="K379" s="125">
        <v>137.88</v>
      </c>
      <c r="L379" s="125">
        <v>6019.725</v>
      </c>
      <c r="M379" s="325">
        <v>830000</v>
      </c>
      <c r="N379" s="326">
        <v>6000.16</v>
      </c>
      <c r="O379" s="165">
        <v>761467.89</v>
      </c>
      <c r="P379" s="294" t="s">
        <v>5099</v>
      </c>
      <c r="Q379" s="328">
        <v>45910</v>
      </c>
      <c r="R379" s="223"/>
      <c r="S379" s="286"/>
      <c r="T379" s="292" t="s">
        <v>5100</v>
      </c>
      <c r="U379" s="286" t="s">
        <v>4990</v>
      </c>
      <c r="V379" s="223">
        <v>165000</v>
      </c>
      <c r="W379" s="286" t="s">
        <v>471</v>
      </c>
      <c r="X379" s="125">
        <v>360000</v>
      </c>
      <c r="Y379" s="168" t="s">
        <v>679</v>
      </c>
      <c r="Z379" s="223">
        <v>305000</v>
      </c>
      <c r="AA379" s="286" t="s">
        <v>827</v>
      </c>
      <c r="AB379" s="223"/>
      <c r="AC379" s="286"/>
      <c r="AD379" s="168"/>
      <c r="AE379" s="168"/>
      <c r="AF379" s="168"/>
      <c r="AG379" s="168"/>
      <c r="AH379" s="223">
        <f t="shared" si="45"/>
        <v>830000</v>
      </c>
      <c r="AK379" s="171">
        <f t="shared" si="54"/>
        <v>0</v>
      </c>
      <c r="AL379" s="295"/>
      <c r="AM379" s="329"/>
      <c r="AN379" s="330"/>
      <c r="AO379" s="125">
        <f t="shared" si="46"/>
        <v>830000</v>
      </c>
      <c r="AP379" s="166">
        <f>0.5%+0.02%+0.08%</f>
        <v>0.006</v>
      </c>
      <c r="AQ379" s="283">
        <f t="shared" si="47"/>
        <v>100</v>
      </c>
      <c r="AR379" s="283">
        <v>100</v>
      </c>
      <c r="AS379" s="223"/>
      <c r="AT379" s="223"/>
      <c r="AU379" s="223"/>
      <c r="AV379" s="223"/>
      <c r="AW379" s="223"/>
      <c r="AX379" s="223"/>
      <c r="AY379" s="223"/>
      <c r="AZ379" s="223"/>
      <c r="BB379" s="223">
        <v>525000</v>
      </c>
      <c r="BC379" s="125">
        <v>305000</v>
      </c>
      <c r="CI379" s="125" t="s">
        <v>260</v>
      </c>
      <c r="CJ379" s="125" t="s">
        <v>271</v>
      </c>
      <c r="CK379" s="125" t="s">
        <v>261</v>
      </c>
    </row>
    <row r="380" s="125" customFormat="1" ht="58" customHeight="1" spans="1:89">
      <c r="A380" s="174">
        <v>308</v>
      </c>
      <c r="C380" s="168">
        <v>45314</v>
      </c>
      <c r="D380" s="294" t="s">
        <v>5101</v>
      </c>
      <c r="F380" s="295" t="s">
        <v>5102</v>
      </c>
      <c r="G380" s="175" t="s">
        <v>5103</v>
      </c>
      <c r="H380" s="1037" t="s">
        <v>5104</v>
      </c>
      <c r="I380" s="284" t="s">
        <v>5105</v>
      </c>
      <c r="J380" s="125">
        <v>138.37</v>
      </c>
      <c r="K380" s="125">
        <v>138.37</v>
      </c>
      <c r="L380" s="125">
        <v>5983.95</v>
      </c>
      <c r="M380" s="325">
        <v>828000</v>
      </c>
      <c r="N380" s="326">
        <v>5981.16</v>
      </c>
      <c r="O380" s="165">
        <v>759633.03</v>
      </c>
      <c r="P380" s="294" t="s">
        <v>5106</v>
      </c>
      <c r="Q380" s="328">
        <v>45908</v>
      </c>
      <c r="R380" s="223"/>
      <c r="S380" s="224"/>
      <c r="T380" s="174"/>
      <c r="U380" s="224" t="s">
        <v>656</v>
      </c>
      <c r="V380" s="223">
        <v>20000</v>
      </c>
      <c r="W380" s="224" t="s">
        <v>514</v>
      </c>
      <c r="X380" s="223">
        <v>208000</v>
      </c>
      <c r="Y380" s="224" t="s">
        <v>3759</v>
      </c>
      <c r="Z380" s="213">
        <v>100000</v>
      </c>
      <c r="AA380" s="125" t="s">
        <v>515</v>
      </c>
      <c r="AB380" s="223">
        <v>500000</v>
      </c>
      <c r="AC380" s="224" t="s">
        <v>1242</v>
      </c>
      <c r="AH380" s="223">
        <f t="shared" si="45"/>
        <v>828000</v>
      </c>
      <c r="AK380" s="171">
        <f t="shared" si="54"/>
        <v>0</v>
      </c>
      <c r="AL380" s="295" t="s">
        <v>5107</v>
      </c>
      <c r="AM380" s="329"/>
      <c r="AN380" s="360"/>
      <c r="AO380" s="125">
        <f t="shared" si="46"/>
        <v>828000</v>
      </c>
      <c r="AP380" s="166">
        <f>0.4%+0.03%+0.08%</f>
        <v>0.0051</v>
      </c>
      <c r="AQ380" s="283">
        <f t="shared" si="47"/>
        <v>100</v>
      </c>
      <c r="AR380" s="223"/>
      <c r="AS380" s="223"/>
      <c r="AT380" s="223">
        <v>100</v>
      </c>
      <c r="AU380" s="223"/>
      <c r="AV380" s="223"/>
      <c r="AW380" s="223"/>
      <c r="AX380" s="223"/>
      <c r="AY380" s="223"/>
      <c r="AZ380" s="223"/>
      <c r="BB380" s="223"/>
      <c r="BE380" s="125">
        <v>328000</v>
      </c>
      <c r="BH380" s="125">
        <v>500000</v>
      </c>
      <c r="CI380" s="125" t="s">
        <v>260</v>
      </c>
      <c r="CJ380" s="125" t="s">
        <v>271</v>
      </c>
      <c r="CK380" s="125" t="s">
        <v>261</v>
      </c>
    </row>
    <row r="381" s="125" customFormat="1" ht="45" customHeight="1" spans="1:89">
      <c r="A381" s="174">
        <v>309</v>
      </c>
      <c r="C381" s="184">
        <v>45214</v>
      </c>
      <c r="D381" s="294" t="s">
        <v>5108</v>
      </c>
      <c r="F381" s="295" t="s">
        <v>5109</v>
      </c>
      <c r="G381" s="175" t="s">
        <v>5110</v>
      </c>
      <c r="I381" s="284" t="s">
        <v>5111</v>
      </c>
      <c r="J381" s="125">
        <v>137.88</v>
      </c>
      <c r="K381" s="125">
        <v>137.88</v>
      </c>
      <c r="L381" s="125">
        <f>M381/K381</f>
        <v>6049.07165651291</v>
      </c>
      <c r="M381" s="325">
        <v>834046</v>
      </c>
      <c r="N381" s="326">
        <v>6049.07</v>
      </c>
      <c r="O381" s="327">
        <v>765179.82</v>
      </c>
      <c r="P381" s="294" t="s">
        <v>5112</v>
      </c>
      <c r="Q381" s="328">
        <v>45910</v>
      </c>
      <c r="R381" s="223"/>
      <c r="S381" s="224"/>
      <c r="T381" s="174"/>
      <c r="U381" s="224" t="s">
        <v>257</v>
      </c>
      <c r="V381" s="223">
        <v>1000</v>
      </c>
      <c r="W381" s="224" t="s">
        <v>5113</v>
      </c>
      <c r="X381" s="223">
        <v>20000</v>
      </c>
      <c r="Y381" s="224" t="s">
        <v>458</v>
      </c>
      <c r="Z381" s="213">
        <f>200000+167046</f>
        <v>367046</v>
      </c>
      <c r="AA381" s="125" t="s">
        <v>704</v>
      </c>
      <c r="AB381" s="223">
        <v>147000</v>
      </c>
      <c r="AC381" s="125" t="s">
        <v>704</v>
      </c>
      <c r="AD381" s="223">
        <v>300000</v>
      </c>
      <c r="AE381" s="224" t="s">
        <v>2998</v>
      </c>
      <c r="AH381" s="223">
        <f t="shared" si="45"/>
        <v>835046</v>
      </c>
      <c r="AK381" s="171">
        <f t="shared" si="54"/>
        <v>-1000</v>
      </c>
      <c r="AL381" s="295" t="s">
        <v>5114</v>
      </c>
      <c r="AM381" s="329"/>
      <c r="AN381" s="360"/>
      <c r="AO381" s="125">
        <f t="shared" si="46"/>
        <v>834046</v>
      </c>
      <c r="AP381" s="166">
        <f>0.4%+0.02%+0.08%</f>
        <v>0.005</v>
      </c>
      <c r="AQ381" s="283">
        <f t="shared" si="47"/>
        <v>100</v>
      </c>
      <c r="AR381" s="223"/>
      <c r="AS381" s="223">
        <v>100</v>
      </c>
      <c r="AT381" s="223"/>
      <c r="AU381" s="223"/>
      <c r="AV381" s="223"/>
      <c r="AW381" s="223"/>
      <c r="AX381" s="223"/>
      <c r="AY381" s="223"/>
      <c r="AZ381" s="223"/>
      <c r="BB381" s="223"/>
      <c r="BJ381" s="125">
        <v>534046</v>
      </c>
      <c r="BK381" s="125">
        <v>300000</v>
      </c>
      <c r="CI381" s="125" t="s">
        <v>260</v>
      </c>
      <c r="CJ381" s="125" t="s">
        <v>271</v>
      </c>
      <c r="CK381" s="125" t="s">
        <v>261</v>
      </c>
    </row>
    <row r="382" s="125" customFormat="1" customHeight="1" spans="1:89">
      <c r="A382" s="174">
        <v>310</v>
      </c>
      <c r="C382" s="168">
        <v>45417</v>
      </c>
      <c r="D382" s="294" t="s">
        <v>5115</v>
      </c>
      <c r="F382" s="295" t="s">
        <v>5116</v>
      </c>
      <c r="G382" s="175" t="s">
        <v>5117</v>
      </c>
      <c r="H382" s="1037" t="s">
        <v>5118</v>
      </c>
      <c r="I382" s="284" t="s">
        <v>5119</v>
      </c>
      <c r="J382" s="125">
        <v>138.37</v>
      </c>
      <c r="K382" s="125">
        <v>138.37</v>
      </c>
      <c r="L382" s="125">
        <v>6000</v>
      </c>
      <c r="M382" s="325">
        <v>830220</v>
      </c>
      <c r="N382" s="326">
        <v>6000</v>
      </c>
      <c r="O382" s="327">
        <v>761669.72</v>
      </c>
      <c r="P382" s="294" t="s">
        <v>5120</v>
      </c>
      <c r="Q382" s="328">
        <v>45908</v>
      </c>
      <c r="R382" s="223"/>
      <c r="S382" s="224"/>
      <c r="T382" s="1038" t="s">
        <v>5121</v>
      </c>
      <c r="U382" s="224" t="s">
        <v>561</v>
      </c>
      <c r="V382" s="223">
        <v>20000</v>
      </c>
      <c r="W382" s="224" t="s">
        <v>4400</v>
      </c>
      <c r="X382" s="223">
        <v>80220</v>
      </c>
      <c r="Y382" s="224" t="s">
        <v>965</v>
      </c>
      <c r="Z382" s="223">
        <v>200000</v>
      </c>
      <c r="AA382" s="224" t="s">
        <v>3273</v>
      </c>
      <c r="AB382" s="223">
        <v>530000</v>
      </c>
      <c r="AC382" s="224" t="s">
        <v>3946</v>
      </c>
      <c r="AH382" s="223">
        <f t="shared" si="45"/>
        <v>830220</v>
      </c>
      <c r="AK382" s="171">
        <f t="shared" si="54"/>
        <v>0</v>
      </c>
      <c r="AL382" s="295" t="s">
        <v>5122</v>
      </c>
      <c r="AM382" s="329"/>
      <c r="AN382" s="360"/>
      <c r="AO382" s="125">
        <f t="shared" si="46"/>
        <v>830220</v>
      </c>
      <c r="AP382" s="169">
        <f>0.7%+0.05%+0.12%</f>
        <v>0.0087</v>
      </c>
      <c r="AQ382" s="283">
        <f t="shared" si="47"/>
        <v>100</v>
      </c>
      <c r="AR382" s="223"/>
      <c r="AS382" s="223"/>
      <c r="AT382" s="223">
        <v>100</v>
      </c>
      <c r="AU382" s="223"/>
      <c r="AV382" s="223"/>
      <c r="AW382" s="223"/>
      <c r="AX382" s="223"/>
      <c r="AY382" s="223"/>
      <c r="AZ382" s="223"/>
      <c r="BB382" s="223"/>
      <c r="BL382" s="125">
        <v>830220</v>
      </c>
      <c r="CI382" s="125" t="s">
        <v>260</v>
      </c>
      <c r="CJ382" s="125" t="s">
        <v>271</v>
      </c>
      <c r="CK382" s="125" t="s">
        <v>261</v>
      </c>
    </row>
    <row r="383" s="125" customFormat="1" customHeight="1" spans="1:89">
      <c r="A383" s="174">
        <v>311</v>
      </c>
      <c r="C383" s="168">
        <v>45390</v>
      </c>
      <c r="D383" s="125">
        <v>20240001952</v>
      </c>
      <c r="F383" s="295" t="s">
        <v>5123</v>
      </c>
      <c r="G383" s="175" t="s">
        <v>5124</v>
      </c>
      <c r="H383" s="175"/>
      <c r="I383" s="284" t="s">
        <v>5125</v>
      </c>
      <c r="J383" s="125">
        <v>137.88</v>
      </c>
      <c r="K383" s="125">
        <v>137.88</v>
      </c>
      <c r="L383" s="125">
        <f t="shared" ref="L383:L388" si="55">M383/K383</f>
        <v>6076.24020887729</v>
      </c>
      <c r="M383" s="325">
        <v>837792</v>
      </c>
      <c r="N383" s="326">
        <v>6076.24</v>
      </c>
      <c r="O383" s="165">
        <v>768616.51</v>
      </c>
      <c r="P383" s="294" t="s">
        <v>5126</v>
      </c>
      <c r="Q383" s="328">
        <v>45910</v>
      </c>
      <c r="R383" s="223"/>
      <c r="S383" s="224"/>
      <c r="T383" s="174"/>
      <c r="U383" s="286" t="s">
        <v>294</v>
      </c>
      <c r="V383" s="223">
        <v>20000</v>
      </c>
      <c r="W383" s="224" t="s">
        <v>554</v>
      </c>
      <c r="X383" s="223">
        <v>20000</v>
      </c>
      <c r="Y383" s="336" t="s">
        <v>555</v>
      </c>
      <c r="Z383" s="213">
        <v>197792</v>
      </c>
      <c r="AA383" s="125" t="s">
        <v>4307</v>
      </c>
      <c r="AB383" s="223">
        <v>600000</v>
      </c>
      <c r="AC383" s="125" t="s">
        <v>4308</v>
      </c>
      <c r="AH383" s="223">
        <f t="shared" si="45"/>
        <v>837792</v>
      </c>
      <c r="AK383" s="171">
        <f t="shared" si="54"/>
        <v>0</v>
      </c>
      <c r="AL383" s="295" t="s">
        <v>5127</v>
      </c>
      <c r="AM383" s="329"/>
      <c r="AN383" s="360"/>
      <c r="AO383" s="125">
        <f t="shared" si="46"/>
        <v>837792</v>
      </c>
      <c r="AP383" s="166">
        <f>0.7%+0.12%</f>
        <v>0.0082</v>
      </c>
      <c r="AQ383" s="283">
        <f t="shared" si="47"/>
        <v>100</v>
      </c>
      <c r="AR383" s="283">
        <v>100</v>
      </c>
      <c r="AS383" s="223"/>
      <c r="AT383" s="223"/>
      <c r="AU383" s="223"/>
      <c r="AV383" s="223"/>
      <c r="AW383" s="223"/>
      <c r="AX383" s="223"/>
      <c r="AY383" s="223"/>
      <c r="AZ383" s="223"/>
      <c r="BB383" s="223"/>
      <c r="BH383" s="125">
        <v>837792</v>
      </c>
      <c r="CI383" s="125" t="s">
        <v>260</v>
      </c>
      <c r="CJ383" s="125" t="s">
        <v>271</v>
      </c>
      <c r="CK383" s="125" t="s">
        <v>261</v>
      </c>
    </row>
    <row r="384" s="125" customFormat="1" customHeight="1" spans="1:89">
      <c r="A384" s="174">
        <v>312</v>
      </c>
      <c r="C384" s="168">
        <v>45509</v>
      </c>
      <c r="D384" s="294" t="s">
        <v>5128</v>
      </c>
      <c r="F384" s="295" t="s">
        <v>5129</v>
      </c>
      <c r="G384" s="175" t="s">
        <v>5130</v>
      </c>
      <c r="H384" s="1037" t="s">
        <v>5131</v>
      </c>
      <c r="I384" s="284" t="s">
        <v>5132</v>
      </c>
      <c r="J384" s="125">
        <v>138.37</v>
      </c>
      <c r="K384" s="125">
        <v>138.37</v>
      </c>
      <c r="L384" s="125">
        <v>5700</v>
      </c>
      <c r="M384" s="325">
        <v>788709</v>
      </c>
      <c r="N384" s="326">
        <v>5700</v>
      </c>
      <c r="O384" s="327">
        <v>723586.24</v>
      </c>
      <c r="P384" s="294" t="s">
        <v>5133</v>
      </c>
      <c r="Q384" s="328">
        <v>45910</v>
      </c>
      <c r="R384" s="223"/>
      <c r="S384" s="224"/>
      <c r="T384" s="292" t="s">
        <v>5134</v>
      </c>
      <c r="U384" s="286" t="s">
        <v>5020</v>
      </c>
      <c r="V384" s="223">
        <f>10000-10000</f>
        <v>0</v>
      </c>
      <c r="W384" s="224" t="s">
        <v>1644</v>
      </c>
      <c r="X384" s="223">
        <v>10000</v>
      </c>
      <c r="Y384" s="224" t="s">
        <v>709</v>
      </c>
      <c r="Z384" s="223">
        <v>108709</v>
      </c>
      <c r="AA384" s="224" t="s">
        <v>3683</v>
      </c>
      <c r="AB384" s="223">
        <v>670000</v>
      </c>
      <c r="AC384" s="125" t="s">
        <v>717</v>
      </c>
      <c r="AH384" s="223">
        <f t="shared" si="45"/>
        <v>788709</v>
      </c>
      <c r="AK384" s="171">
        <f t="shared" si="54"/>
        <v>0</v>
      </c>
      <c r="AL384" s="295" t="s">
        <v>5135</v>
      </c>
      <c r="AM384" s="329" t="s">
        <v>3839</v>
      </c>
      <c r="AN384" s="360"/>
      <c r="AO384" s="125">
        <f t="shared" si="46"/>
        <v>788709</v>
      </c>
      <c r="AP384" s="166">
        <f>0.5%+0.02%+0.08%</f>
        <v>0.006</v>
      </c>
      <c r="AQ384" s="283">
        <f t="shared" si="47"/>
        <v>100</v>
      </c>
      <c r="AR384" s="223"/>
      <c r="AS384" s="223"/>
      <c r="AT384" s="223">
        <v>100</v>
      </c>
      <c r="AU384" s="223"/>
      <c r="AV384" s="223"/>
      <c r="AW384" s="223"/>
      <c r="AX384" s="223"/>
      <c r="AY384" s="223"/>
      <c r="AZ384" s="223"/>
      <c r="BB384" s="223"/>
      <c r="BL384" s="125">
        <v>788709</v>
      </c>
      <c r="CI384" s="125" t="s">
        <v>260</v>
      </c>
      <c r="CK384" s="125" t="s">
        <v>261</v>
      </c>
    </row>
    <row r="385" s="125" customFormat="1" customHeight="1" spans="1:89">
      <c r="A385" s="174">
        <v>313</v>
      </c>
      <c r="C385" s="168">
        <v>45383</v>
      </c>
      <c r="D385" s="294" t="s">
        <v>5136</v>
      </c>
      <c r="F385" s="295" t="s">
        <v>5137</v>
      </c>
      <c r="G385" s="292" t="s">
        <v>5138</v>
      </c>
      <c r="I385" s="284" t="s">
        <v>5139</v>
      </c>
      <c r="J385" s="125">
        <v>137.88</v>
      </c>
      <c r="K385" s="125">
        <v>137.88</v>
      </c>
      <c r="L385" s="125">
        <f t="shared" si="55"/>
        <v>6105.15665796345</v>
      </c>
      <c r="M385" s="325">
        <v>841779</v>
      </c>
      <c r="N385" s="326">
        <v>6105.16</v>
      </c>
      <c r="O385" s="165">
        <v>772274.31</v>
      </c>
      <c r="P385" s="294" t="s">
        <v>5140</v>
      </c>
      <c r="Q385" s="328">
        <v>45910</v>
      </c>
      <c r="R385" s="223"/>
      <c r="S385" s="286"/>
      <c r="T385" s="292"/>
      <c r="U385" s="286" t="s">
        <v>294</v>
      </c>
      <c r="V385" s="223">
        <v>111779</v>
      </c>
      <c r="W385" s="286" t="s">
        <v>554</v>
      </c>
      <c r="X385" s="223">
        <v>90000</v>
      </c>
      <c r="Y385" s="336" t="s">
        <v>554</v>
      </c>
      <c r="Z385" s="213">
        <v>140000</v>
      </c>
      <c r="AA385" s="125" t="s">
        <v>4452</v>
      </c>
      <c r="AB385" s="223">
        <v>500000</v>
      </c>
      <c r="AC385" s="286" t="s">
        <v>5141</v>
      </c>
      <c r="AH385" s="223">
        <f t="shared" si="45"/>
        <v>841779</v>
      </c>
      <c r="AK385" s="171">
        <f t="shared" si="54"/>
        <v>0</v>
      </c>
      <c r="AL385" s="295"/>
      <c r="AM385" s="329"/>
      <c r="AN385" s="360"/>
      <c r="AO385" s="125">
        <f t="shared" si="46"/>
        <v>841779</v>
      </c>
      <c r="AP385" s="169">
        <f>0.7%+0.05%+0.12%</f>
        <v>0.0087</v>
      </c>
      <c r="AQ385" s="283">
        <f t="shared" si="47"/>
        <v>100</v>
      </c>
      <c r="AR385" s="283">
        <v>100</v>
      </c>
      <c r="AS385" s="223"/>
      <c r="AT385" s="223"/>
      <c r="AU385" s="223"/>
      <c r="AV385" s="223"/>
      <c r="AW385" s="223"/>
      <c r="AX385" s="223"/>
      <c r="AY385" s="223"/>
      <c r="AZ385" s="223"/>
      <c r="BB385" s="223"/>
      <c r="BH385" s="125">
        <v>341779</v>
      </c>
      <c r="BI385" s="125">
        <v>500000</v>
      </c>
      <c r="CI385" s="125" t="s">
        <v>260</v>
      </c>
      <c r="CJ385" s="125" t="s">
        <v>271</v>
      </c>
      <c r="CK385" s="125" t="s">
        <v>261</v>
      </c>
    </row>
    <row r="386" s="125" customFormat="1" customHeight="1" spans="1:89">
      <c r="A386" s="174">
        <v>314</v>
      </c>
      <c r="C386" s="168">
        <v>45493</v>
      </c>
      <c r="D386" s="294" t="s">
        <v>5142</v>
      </c>
      <c r="F386" s="295" t="s">
        <v>5143</v>
      </c>
      <c r="G386" s="175" t="s">
        <v>5144</v>
      </c>
      <c r="H386" s="1040" t="s">
        <v>5145</v>
      </c>
      <c r="I386" s="284" t="s">
        <v>5146</v>
      </c>
      <c r="J386" s="125">
        <v>138.37</v>
      </c>
      <c r="K386" s="125">
        <v>138.37</v>
      </c>
      <c r="L386" s="125">
        <v>6100</v>
      </c>
      <c r="M386" s="325">
        <v>844057</v>
      </c>
      <c r="N386" s="326">
        <v>6086.16</v>
      </c>
      <c r="O386" s="327">
        <v>774364.22</v>
      </c>
      <c r="P386" s="294" t="s">
        <v>5147</v>
      </c>
      <c r="Q386" s="328">
        <v>45908</v>
      </c>
      <c r="R386" s="223"/>
      <c r="S386" s="286"/>
      <c r="T386" s="1039" t="s">
        <v>1779</v>
      </c>
      <c r="U386" s="286" t="s">
        <v>5148</v>
      </c>
      <c r="V386" s="223">
        <f>10000-10000</f>
        <v>0</v>
      </c>
      <c r="W386" s="286" t="s">
        <v>2438</v>
      </c>
      <c r="X386" s="223">
        <v>5000</v>
      </c>
      <c r="Y386" s="286" t="s">
        <v>4376</v>
      </c>
      <c r="Z386" s="223">
        <f>14057+150000</f>
        <v>164057</v>
      </c>
      <c r="AA386" s="286" t="s">
        <v>4364</v>
      </c>
      <c r="AB386" s="223">
        <v>675000</v>
      </c>
      <c r="AC386" s="286" t="s">
        <v>5149</v>
      </c>
      <c r="AH386" s="223">
        <f t="shared" si="45"/>
        <v>844057</v>
      </c>
      <c r="AK386" s="171">
        <f t="shared" si="54"/>
        <v>0</v>
      </c>
      <c r="AL386" s="295" t="s">
        <v>5150</v>
      </c>
      <c r="AM386" s="329"/>
      <c r="AN386" s="360"/>
      <c r="AO386" s="125">
        <f t="shared" si="46"/>
        <v>844057</v>
      </c>
      <c r="AP386" s="166">
        <f>0.4%+0.05%+0.12%</f>
        <v>0.0057</v>
      </c>
      <c r="AQ386" s="283">
        <f t="shared" si="47"/>
        <v>200</v>
      </c>
      <c r="AR386" s="223"/>
      <c r="AS386" s="223"/>
      <c r="AT386" s="223">
        <v>100</v>
      </c>
      <c r="AU386" s="223"/>
      <c r="AV386" s="223"/>
      <c r="AW386" s="223">
        <v>100</v>
      </c>
      <c r="AX386" s="223"/>
      <c r="AY386" s="223"/>
      <c r="AZ386" s="223"/>
      <c r="BB386" s="223"/>
      <c r="BK386" s="125">
        <v>169057</v>
      </c>
      <c r="BL386" s="125">
        <v>675000</v>
      </c>
      <c r="CI386" s="125" t="s">
        <v>260</v>
      </c>
      <c r="CK386" s="125" t="s">
        <v>261</v>
      </c>
    </row>
    <row r="387" s="125" customFormat="1" customHeight="1" spans="1:89">
      <c r="A387" s="174">
        <v>315</v>
      </c>
      <c r="C387" s="168">
        <v>45493</v>
      </c>
      <c r="D387" s="294" t="s">
        <v>5151</v>
      </c>
      <c r="F387" s="295" t="s">
        <v>5152</v>
      </c>
      <c r="G387" s="175" t="s">
        <v>5153</v>
      </c>
      <c r="H387" s="175"/>
      <c r="I387" s="284" t="s">
        <v>5154</v>
      </c>
      <c r="J387" s="125">
        <v>137.88</v>
      </c>
      <c r="K387" s="125">
        <v>137.88</v>
      </c>
      <c r="L387" s="125">
        <f t="shared" si="55"/>
        <v>6017.20336524514</v>
      </c>
      <c r="M387" s="325">
        <v>829652</v>
      </c>
      <c r="N387" s="361">
        <v>6017.2</v>
      </c>
      <c r="O387" s="327">
        <v>761148.62</v>
      </c>
      <c r="P387" s="294" t="s">
        <v>5155</v>
      </c>
      <c r="Q387" s="328">
        <v>45908</v>
      </c>
      <c r="R387" s="223"/>
      <c r="S387" s="224"/>
      <c r="T387" s="174"/>
      <c r="U387" s="224" t="s">
        <v>284</v>
      </c>
      <c r="V387" s="223">
        <v>59652</v>
      </c>
      <c r="W387" s="224" t="s">
        <v>4364</v>
      </c>
      <c r="X387" s="223">
        <v>110000</v>
      </c>
      <c r="Y387" s="224" t="s">
        <v>3274</v>
      </c>
      <c r="Z387" s="223">
        <v>660000</v>
      </c>
      <c r="AA387" s="224" t="s">
        <v>5156</v>
      </c>
      <c r="AB387" s="223"/>
      <c r="AH387" s="223">
        <f t="shared" si="45"/>
        <v>829652</v>
      </c>
      <c r="AK387" s="171">
        <f t="shared" si="54"/>
        <v>0</v>
      </c>
      <c r="AL387" s="295" t="s">
        <v>5157</v>
      </c>
      <c r="AM387" s="329" t="s">
        <v>4542</v>
      </c>
      <c r="AN387" s="360"/>
      <c r="AO387" s="125">
        <f t="shared" si="46"/>
        <v>829652</v>
      </c>
      <c r="AP387" s="177">
        <f>0.7%+0.03%+0.08%</f>
        <v>0.0081</v>
      </c>
      <c r="AQ387" s="283">
        <f t="shared" si="47"/>
        <v>100</v>
      </c>
      <c r="AR387" s="223"/>
      <c r="AS387" s="223"/>
      <c r="AT387" s="223"/>
      <c r="AU387" s="223"/>
      <c r="AV387" s="223">
        <v>100</v>
      </c>
      <c r="AW387" s="223"/>
      <c r="AX387" s="223"/>
      <c r="AY387" s="223"/>
      <c r="AZ387" s="223"/>
      <c r="BB387" s="223"/>
      <c r="BL387" s="125">
        <v>169652</v>
      </c>
      <c r="BM387" s="125">
        <v>660000</v>
      </c>
      <c r="CI387" s="125" t="s">
        <v>260</v>
      </c>
      <c r="CK387" s="125" t="s">
        <v>261</v>
      </c>
    </row>
    <row r="388" s="125" customFormat="1" customHeight="1" spans="1:89">
      <c r="A388" s="174">
        <v>316</v>
      </c>
      <c r="B388" s="125"/>
      <c r="C388" s="168">
        <v>45542</v>
      </c>
      <c r="D388" s="294" t="s">
        <v>5158</v>
      </c>
      <c r="F388" s="295" t="s">
        <v>5159</v>
      </c>
      <c r="G388" s="174" t="s">
        <v>5160</v>
      </c>
      <c r="H388" s="1038" t="s">
        <v>5161</v>
      </c>
      <c r="I388" s="284" t="s">
        <v>5162</v>
      </c>
      <c r="J388" s="125">
        <v>138.37</v>
      </c>
      <c r="K388" s="125">
        <v>138.37</v>
      </c>
      <c r="L388" s="125">
        <v>5817.735</v>
      </c>
      <c r="M388" s="325">
        <v>805000</v>
      </c>
      <c r="N388" s="362">
        <v>5817.735</v>
      </c>
      <c r="O388" s="165">
        <v>738532.11</v>
      </c>
      <c r="P388" s="294" t="s">
        <v>5163</v>
      </c>
      <c r="Q388" s="328">
        <v>45908</v>
      </c>
      <c r="R388" s="223"/>
      <c r="S388" s="224"/>
      <c r="T388" s="174"/>
      <c r="U388" s="224" t="s">
        <v>294</v>
      </c>
      <c r="V388" s="223">
        <v>20000</v>
      </c>
      <c r="W388" s="224">
        <v>45536</v>
      </c>
      <c r="X388" s="223">
        <f>165000+220000</f>
        <v>385000</v>
      </c>
      <c r="Y388" s="336" t="s">
        <v>5164</v>
      </c>
      <c r="Z388" s="223">
        <v>300000</v>
      </c>
      <c r="AA388" s="224" t="s">
        <v>3281</v>
      </c>
      <c r="AB388" s="223">
        <v>100000</v>
      </c>
      <c r="AC388" s="125" t="s">
        <v>429</v>
      </c>
      <c r="AH388" s="223">
        <f t="shared" si="45"/>
        <v>805000</v>
      </c>
      <c r="AK388" s="171">
        <f t="shared" si="54"/>
        <v>0</v>
      </c>
      <c r="AL388" s="295" t="s">
        <v>5165</v>
      </c>
      <c r="AM388" s="329" t="s">
        <v>3461</v>
      </c>
      <c r="AN388" s="360"/>
      <c r="AO388" s="125">
        <f t="shared" si="46"/>
        <v>805000</v>
      </c>
      <c r="AP388" s="169">
        <f>0.7%+0.1%</f>
        <v>0.008</v>
      </c>
      <c r="AQ388" s="283">
        <f t="shared" si="47"/>
        <v>0</v>
      </c>
      <c r="AR388" s="223"/>
      <c r="AS388" s="223"/>
      <c r="AT388" s="223"/>
      <c r="AU388" s="223"/>
      <c r="AV388" s="223"/>
      <c r="AW388" s="223"/>
      <c r="AX388" s="223"/>
      <c r="AY388" s="223"/>
      <c r="AZ388" s="223"/>
      <c r="BB388" s="223"/>
      <c r="BP388" s="125">
        <v>805000</v>
      </c>
      <c r="BQ388" s="125"/>
      <c r="BR388" s="125"/>
      <c r="CI388" s="125" t="s">
        <v>260</v>
      </c>
      <c r="CK388" s="125" t="s">
        <v>261</v>
      </c>
    </row>
    <row r="389" s="125" customFormat="1" customHeight="1" spans="1:89">
      <c r="A389" s="174">
        <v>317</v>
      </c>
      <c r="B389" s="125"/>
      <c r="C389" s="168">
        <v>45708</v>
      </c>
      <c r="D389" s="294" t="s">
        <v>5166</v>
      </c>
      <c r="F389" s="295" t="s">
        <v>5167</v>
      </c>
      <c r="G389" s="175" t="s">
        <v>5168</v>
      </c>
      <c r="H389" s="175"/>
      <c r="I389" s="284" t="s">
        <v>5169</v>
      </c>
      <c r="J389" s="125">
        <v>137.88</v>
      </c>
      <c r="K389" s="125">
        <v>137.88</v>
      </c>
      <c r="L389" s="125">
        <v>7000</v>
      </c>
      <c r="M389" s="325">
        <v>965160</v>
      </c>
      <c r="N389" s="326">
        <v>7000</v>
      </c>
      <c r="O389" s="327">
        <v>885467.89</v>
      </c>
      <c r="P389" s="294" t="s">
        <v>5170</v>
      </c>
      <c r="Q389" s="328">
        <v>45908</v>
      </c>
      <c r="R389" s="223"/>
      <c r="S389" s="224"/>
      <c r="T389" s="292"/>
      <c r="U389" s="286"/>
      <c r="V389" s="223">
        <v>195160</v>
      </c>
      <c r="W389" s="224" t="s">
        <v>3466</v>
      </c>
      <c r="X389" s="223">
        <v>770000</v>
      </c>
      <c r="Y389" s="224" t="s">
        <v>4852</v>
      </c>
      <c r="Z389" s="213"/>
      <c r="AB389" s="223"/>
      <c r="AH389" s="223">
        <f t="shared" si="45"/>
        <v>965160</v>
      </c>
      <c r="AK389" s="171">
        <f t="shared" si="54"/>
        <v>0</v>
      </c>
      <c r="AL389" s="295"/>
      <c r="AM389" s="329" t="s">
        <v>3362</v>
      </c>
      <c r="AN389" s="360"/>
      <c r="AO389" s="125">
        <f t="shared" si="46"/>
        <v>965160</v>
      </c>
      <c r="AP389" s="166">
        <f>0.7%+0.04%+0.12%+0.03%</f>
        <v>0.0089</v>
      </c>
      <c r="AQ389" s="283">
        <f t="shared" si="47"/>
        <v>0</v>
      </c>
      <c r="AR389" s="223"/>
      <c r="AS389" s="223"/>
      <c r="AT389" s="223"/>
      <c r="AU389" s="223"/>
      <c r="AV389" s="223"/>
      <c r="AW389" s="223"/>
      <c r="AX389" s="223"/>
      <c r="AY389" s="223"/>
      <c r="AZ389" s="223"/>
      <c r="BB389" s="223"/>
      <c r="BR389" s="125">
        <v>195160</v>
      </c>
      <c r="BS389" s="125">
        <v>770000</v>
      </c>
      <c r="CI389" s="125" t="s">
        <v>260</v>
      </c>
      <c r="CK389" s="125" t="s">
        <v>261</v>
      </c>
    </row>
    <row r="390" s="125" customFormat="1" customHeight="1" spans="1:89">
      <c r="A390" s="174">
        <v>318</v>
      </c>
      <c r="B390" s="125"/>
      <c r="C390" s="168">
        <v>45782</v>
      </c>
      <c r="D390" s="294" t="s">
        <v>5171</v>
      </c>
      <c r="F390" s="295" t="s">
        <v>5172</v>
      </c>
      <c r="G390" s="175" t="s">
        <v>5173</v>
      </c>
      <c r="H390" s="1040" t="s">
        <v>5174</v>
      </c>
      <c r="I390" s="284" t="s">
        <v>5175</v>
      </c>
      <c r="J390" s="125">
        <v>138.37</v>
      </c>
      <c r="K390" s="125">
        <v>138.37</v>
      </c>
      <c r="L390" s="125">
        <v>6866</v>
      </c>
      <c r="M390" s="325">
        <v>950000</v>
      </c>
      <c r="N390" s="326">
        <v>7116</v>
      </c>
      <c r="O390" s="327">
        <v>871559.63</v>
      </c>
      <c r="P390" s="294" t="s">
        <v>5176</v>
      </c>
      <c r="Q390" s="328">
        <v>45908</v>
      </c>
      <c r="R390" s="223">
        <v>760000</v>
      </c>
      <c r="S390" s="224">
        <v>46090</v>
      </c>
      <c r="T390" s="174"/>
      <c r="U390" s="224" t="s">
        <v>257</v>
      </c>
      <c r="V390" s="223">
        <v>20000</v>
      </c>
      <c r="W390" s="224" t="s">
        <v>391</v>
      </c>
      <c r="X390" s="223">
        <v>170000</v>
      </c>
      <c r="Y390" s="224" t="s">
        <v>1195</v>
      </c>
      <c r="Z390" s="223">
        <v>760000</v>
      </c>
      <c r="AA390" s="224">
        <v>46090</v>
      </c>
      <c r="AB390" s="223"/>
      <c r="AH390" s="223">
        <f t="shared" si="45"/>
        <v>950000</v>
      </c>
      <c r="AK390" s="171">
        <f t="shared" si="54"/>
        <v>0</v>
      </c>
      <c r="AL390" s="295" t="s">
        <v>5177</v>
      </c>
      <c r="AM390" s="329" t="s">
        <v>3467</v>
      </c>
      <c r="AN390" s="360"/>
      <c r="AO390" s="125">
        <f t="shared" si="46"/>
        <v>950000</v>
      </c>
      <c r="AP390" s="166">
        <f>0.5%+0.05%+0.08%+0.03%</f>
        <v>0.0066</v>
      </c>
      <c r="AQ390" s="283">
        <f t="shared" si="47"/>
        <v>0</v>
      </c>
      <c r="AR390" s="223"/>
      <c r="AS390" s="223"/>
      <c r="AT390" s="223"/>
      <c r="AU390" s="223"/>
      <c r="AV390" s="223"/>
      <c r="AW390" s="223"/>
      <c r="AX390" s="223"/>
      <c r="AY390" s="223"/>
      <c r="AZ390" s="223"/>
      <c r="BB390" s="223"/>
      <c r="BU390" s="125">
        <v>190000</v>
      </c>
      <c r="CE390" s="125">
        <v>760000</v>
      </c>
      <c r="CI390" s="125" t="s">
        <v>260</v>
      </c>
      <c r="CK390" s="125" t="s">
        <v>261</v>
      </c>
    </row>
    <row r="391" s="101" customFormat="1" customHeight="1" spans="1:89">
      <c r="D391" s="332"/>
      <c r="F391" s="318"/>
      <c r="G391" s="238" t="s">
        <v>5178</v>
      </c>
      <c r="H391" s="238"/>
      <c r="I391" s="278" t="s">
        <v>5179</v>
      </c>
      <c r="J391" s="162">
        <v>8.18</v>
      </c>
      <c r="M391" s="314">
        <v>21420</v>
      </c>
      <c r="N391" s="315">
        <v>21420</v>
      </c>
      <c r="O391" s="333"/>
      <c r="P391" s="332"/>
      <c r="Q391" s="334"/>
      <c r="R391" s="242"/>
      <c r="S391" s="243"/>
      <c r="T391" s="238"/>
      <c r="U391" s="243"/>
      <c r="V391" s="242">
        <v>21420</v>
      </c>
      <c r="W391" s="243" t="s">
        <v>839</v>
      </c>
      <c r="X391" s="242"/>
      <c r="Y391" s="317"/>
      <c r="Z391" s="353"/>
      <c r="AB391" s="242"/>
      <c r="AH391" s="242">
        <f t="shared" ref="AH391:AH443" si="56">V391+X391+Z391+AB391+AD391+AF391</f>
        <v>21420</v>
      </c>
      <c r="AK391" s="205">
        <f t="shared" si="54"/>
        <v>0</v>
      </c>
      <c r="AL391" s="318"/>
      <c r="AM391" s="319"/>
      <c r="AN391" s="320"/>
      <c r="AO391" s="101">
        <f t="shared" ref="AO391:AO443" si="57">SUM(AZ391:CF391)</f>
        <v>21420</v>
      </c>
      <c r="AP391" s="276">
        <v>0.02</v>
      </c>
      <c r="AQ391" s="277">
        <f t="shared" ref="AQ391:AQ443" si="58">AR391+AS391+AT391+AU391+AV391+AW391+AX391+AY391</f>
        <v>0</v>
      </c>
      <c r="AR391" s="242"/>
      <c r="AS391" s="242"/>
      <c r="AT391" s="242"/>
      <c r="AU391" s="242"/>
      <c r="AV391" s="242"/>
      <c r="AW391" s="242"/>
      <c r="AX391" s="242"/>
      <c r="AY391" s="242"/>
      <c r="AZ391" s="242"/>
      <c r="BB391" s="242"/>
      <c r="BV391" s="101">
        <v>21420</v>
      </c>
    </row>
    <row r="392" s="101" customFormat="1" customHeight="1" spans="1:89">
      <c r="D392" s="332"/>
      <c r="F392" s="318"/>
      <c r="G392" s="101" t="s">
        <v>5180</v>
      </c>
      <c r="I392" s="278" t="s">
        <v>5181</v>
      </c>
      <c r="J392" s="162">
        <v>22.27</v>
      </c>
      <c r="M392" s="314">
        <v>58310</v>
      </c>
      <c r="N392" s="315">
        <v>58310</v>
      </c>
      <c r="O392" s="333"/>
      <c r="P392" s="332"/>
      <c r="Q392" s="334"/>
      <c r="R392" s="242"/>
      <c r="S392" s="243"/>
      <c r="T392" s="238"/>
      <c r="U392" s="243"/>
      <c r="V392" s="242">
        <v>10000</v>
      </c>
      <c r="W392" s="243" t="s">
        <v>3520</v>
      </c>
      <c r="X392" s="242">
        <v>48310</v>
      </c>
      <c r="Y392" s="243" t="s">
        <v>5182</v>
      </c>
      <c r="Z392" s="353"/>
      <c r="AB392" s="242"/>
      <c r="AH392" s="242">
        <f t="shared" si="56"/>
        <v>58310</v>
      </c>
      <c r="AK392" s="205">
        <f t="shared" ref="AK392:AK397" si="59">M392-AH392</f>
        <v>0</v>
      </c>
      <c r="AL392" s="318"/>
      <c r="AM392" s="319"/>
      <c r="AN392" s="320"/>
      <c r="AO392" s="101">
        <f t="shared" si="57"/>
        <v>58310</v>
      </c>
      <c r="AP392" s="276">
        <v>0.02</v>
      </c>
      <c r="AQ392" s="277">
        <f t="shared" si="58"/>
        <v>0</v>
      </c>
      <c r="AR392" s="242"/>
      <c r="AS392" s="242"/>
      <c r="AT392" s="242"/>
      <c r="AU392" s="242"/>
      <c r="AV392" s="242"/>
      <c r="AW392" s="242"/>
      <c r="AX392" s="242"/>
      <c r="AY392" s="242"/>
      <c r="AZ392" s="242"/>
      <c r="BB392" s="242"/>
      <c r="BX392" s="101">
        <v>58310</v>
      </c>
    </row>
    <row r="393" s="101" customFormat="1" customHeight="1" spans="1:89">
      <c r="D393" s="332"/>
      <c r="F393" s="318"/>
      <c r="G393" s="101" t="s">
        <v>5183</v>
      </c>
      <c r="I393" s="278" t="s">
        <v>5184</v>
      </c>
      <c r="J393" s="162">
        <v>28.52</v>
      </c>
      <c r="M393" s="314">
        <v>74646</v>
      </c>
      <c r="N393" s="315">
        <v>74646</v>
      </c>
      <c r="O393" s="333"/>
      <c r="P393" s="332"/>
      <c r="Q393" s="334"/>
      <c r="R393" s="242"/>
      <c r="S393" s="243"/>
      <c r="T393" s="238"/>
      <c r="U393" s="243"/>
      <c r="V393" s="242">
        <v>74646</v>
      </c>
      <c r="W393" s="243" t="s">
        <v>2633</v>
      </c>
      <c r="X393" s="242"/>
      <c r="Y393" s="317"/>
      <c r="Z393" s="353"/>
      <c r="AB393" s="242"/>
      <c r="AH393" s="242">
        <f t="shared" si="56"/>
        <v>74646</v>
      </c>
      <c r="AK393" s="205">
        <f t="shared" si="59"/>
        <v>0</v>
      </c>
      <c r="AL393" s="318"/>
      <c r="AM393" s="319"/>
      <c r="AN393" s="320"/>
      <c r="AO393" s="101">
        <f t="shared" si="57"/>
        <v>74646</v>
      </c>
      <c r="AP393" s="276">
        <v>0.02</v>
      </c>
      <c r="AQ393" s="277">
        <f t="shared" si="58"/>
        <v>0</v>
      </c>
      <c r="AR393" s="242"/>
      <c r="AS393" s="242"/>
      <c r="AT393" s="242"/>
      <c r="AU393" s="242"/>
      <c r="AV393" s="242"/>
      <c r="AW393" s="242"/>
      <c r="AX393" s="242"/>
      <c r="AY393" s="242"/>
      <c r="AZ393" s="242"/>
      <c r="BB393" s="242"/>
      <c r="BU393" s="101">
        <v>74646</v>
      </c>
    </row>
    <row r="394" s="101" customFormat="1" customHeight="1" spans="1:89">
      <c r="D394" s="332"/>
      <c r="F394" s="318"/>
      <c r="I394" s="278" t="s">
        <v>5185</v>
      </c>
      <c r="J394" s="162">
        <v>15.98</v>
      </c>
      <c r="M394" s="314"/>
      <c r="N394" s="242" t="s">
        <v>3227</v>
      </c>
      <c r="O394" s="333"/>
      <c r="P394" s="332"/>
      <c r="Q394" s="334"/>
      <c r="R394" s="242"/>
      <c r="S394" s="243"/>
      <c r="T394" s="238"/>
      <c r="U394" s="243"/>
      <c r="V394" s="242"/>
      <c r="W394" s="316"/>
      <c r="X394" s="242"/>
      <c r="Y394" s="317"/>
      <c r="Z394" s="353"/>
      <c r="AB394" s="242"/>
      <c r="AH394" s="242">
        <f t="shared" si="56"/>
        <v>0</v>
      </c>
      <c r="AK394" s="205">
        <f t="shared" si="59"/>
        <v>0</v>
      </c>
      <c r="AL394" s="318"/>
      <c r="AM394" s="319"/>
      <c r="AN394" s="320"/>
      <c r="AO394" s="101">
        <f t="shared" si="57"/>
        <v>0</v>
      </c>
      <c r="AP394" s="276">
        <v>0.02</v>
      </c>
      <c r="AQ394" s="277">
        <f t="shared" si="58"/>
        <v>0</v>
      </c>
      <c r="AR394" s="242"/>
      <c r="AS394" s="242"/>
      <c r="AT394" s="242"/>
      <c r="AU394" s="242"/>
      <c r="AV394" s="242"/>
      <c r="AW394" s="242"/>
      <c r="AX394" s="242"/>
      <c r="AY394" s="242"/>
      <c r="AZ394" s="242"/>
      <c r="BB394" s="242"/>
    </row>
    <row r="395" s="101" customFormat="1" customHeight="1" spans="1:89">
      <c r="D395" s="332"/>
      <c r="F395" s="318"/>
      <c r="I395" s="278" t="s">
        <v>5186</v>
      </c>
      <c r="J395" s="363">
        <v>109.91</v>
      </c>
      <c r="M395" s="314"/>
      <c r="N395" s="242" t="s">
        <v>3227</v>
      </c>
      <c r="O395" s="333"/>
      <c r="P395" s="332"/>
      <c r="Q395" s="334"/>
      <c r="R395" s="242"/>
      <c r="S395" s="243"/>
      <c r="T395" s="238"/>
      <c r="U395" s="243"/>
      <c r="V395" s="242"/>
      <c r="W395" s="316"/>
      <c r="X395" s="242"/>
      <c r="Y395" s="317"/>
      <c r="Z395" s="353"/>
      <c r="AB395" s="242"/>
      <c r="AH395" s="242">
        <f t="shared" si="56"/>
        <v>0</v>
      </c>
      <c r="AK395" s="205">
        <f t="shared" si="59"/>
        <v>0</v>
      </c>
      <c r="AL395" s="318"/>
      <c r="AM395" s="319"/>
      <c r="AN395" s="320"/>
      <c r="AO395" s="101">
        <f t="shared" si="57"/>
        <v>0</v>
      </c>
      <c r="AP395" s="276">
        <v>0.02</v>
      </c>
      <c r="AQ395" s="277">
        <f t="shared" si="58"/>
        <v>0</v>
      </c>
      <c r="AR395" s="242"/>
      <c r="AS395" s="242"/>
      <c r="AT395" s="242"/>
      <c r="AU395" s="242"/>
      <c r="AV395" s="242"/>
      <c r="AW395" s="242"/>
      <c r="AX395" s="242"/>
      <c r="AY395" s="242"/>
      <c r="AZ395" s="242"/>
      <c r="BB395" s="242"/>
    </row>
    <row r="396" s="101" customFormat="1" customHeight="1" spans="1:89">
      <c r="D396" s="332"/>
      <c r="F396" s="318"/>
      <c r="I396" s="278" t="s">
        <v>5187</v>
      </c>
      <c r="J396" s="162">
        <v>260.95</v>
      </c>
      <c r="M396" s="314"/>
      <c r="N396" s="242" t="s">
        <v>3227</v>
      </c>
      <c r="O396" s="333"/>
      <c r="P396" s="332"/>
      <c r="Q396" s="334"/>
      <c r="R396" s="242"/>
      <c r="S396" s="243"/>
      <c r="T396" s="238"/>
      <c r="U396" s="243"/>
      <c r="V396" s="242"/>
      <c r="W396" s="316"/>
      <c r="X396" s="242"/>
      <c r="Y396" s="317"/>
      <c r="Z396" s="353"/>
      <c r="AB396" s="242"/>
      <c r="AH396" s="242">
        <f t="shared" si="56"/>
        <v>0</v>
      </c>
      <c r="AK396" s="205">
        <f t="shared" si="59"/>
        <v>0</v>
      </c>
      <c r="AL396" s="318"/>
      <c r="AM396" s="319"/>
      <c r="AN396" s="320"/>
      <c r="AO396" s="101">
        <f t="shared" si="57"/>
        <v>0</v>
      </c>
      <c r="AP396" s="276">
        <v>0.02</v>
      </c>
      <c r="AQ396" s="277">
        <f t="shared" si="58"/>
        <v>0</v>
      </c>
      <c r="AR396" s="242"/>
      <c r="AS396" s="242"/>
      <c r="AT396" s="242"/>
      <c r="AU396" s="242"/>
      <c r="AV396" s="242"/>
      <c r="AW396" s="242"/>
      <c r="AX396" s="242"/>
      <c r="AY396" s="242"/>
      <c r="AZ396" s="242"/>
      <c r="BB396" s="242"/>
    </row>
    <row r="397" s="101" customFormat="1" customHeight="1" spans="1:89">
      <c r="D397" s="332"/>
      <c r="F397" s="318"/>
      <c r="I397" s="278" t="s">
        <v>5188</v>
      </c>
      <c r="J397" s="363">
        <v>111.69</v>
      </c>
      <c r="M397" s="314"/>
      <c r="N397" s="242" t="s">
        <v>3227</v>
      </c>
      <c r="O397" s="333"/>
      <c r="P397" s="332"/>
      <c r="Q397" s="334"/>
      <c r="R397" s="242"/>
      <c r="S397" s="243"/>
      <c r="T397" s="238"/>
      <c r="U397" s="243"/>
      <c r="V397" s="242"/>
      <c r="W397" s="316"/>
      <c r="X397" s="242"/>
      <c r="Y397" s="317"/>
      <c r="Z397" s="353"/>
      <c r="AB397" s="242"/>
      <c r="AH397" s="242">
        <f t="shared" si="56"/>
        <v>0</v>
      </c>
      <c r="AK397" s="205">
        <f t="shared" si="59"/>
        <v>0</v>
      </c>
      <c r="AL397" s="318"/>
      <c r="AM397" s="319"/>
      <c r="AN397" s="320"/>
      <c r="AO397" s="101">
        <f t="shared" si="57"/>
        <v>0</v>
      </c>
      <c r="AP397" s="276">
        <v>0.02</v>
      </c>
      <c r="AQ397" s="277">
        <f t="shared" si="58"/>
        <v>0</v>
      </c>
      <c r="AR397" s="242"/>
      <c r="AS397" s="242"/>
      <c r="AT397" s="242"/>
      <c r="AU397" s="242"/>
      <c r="AV397" s="242"/>
      <c r="AW397" s="242"/>
      <c r="AX397" s="242"/>
      <c r="AY397" s="242"/>
      <c r="AZ397" s="242"/>
      <c r="BB397" s="242"/>
    </row>
    <row r="398" s="125" customFormat="1" ht="30" customHeight="1" spans="1:89">
      <c r="A398" s="174">
        <v>319</v>
      </c>
      <c r="B398" s="125"/>
      <c r="C398" s="168">
        <v>45583</v>
      </c>
      <c r="D398" s="294" t="s">
        <v>5189</v>
      </c>
      <c r="F398" s="295" t="s">
        <v>5190</v>
      </c>
      <c r="G398" s="292" t="s">
        <v>5191</v>
      </c>
      <c r="H398" s="1039" t="s">
        <v>5192</v>
      </c>
      <c r="I398" s="284" t="s">
        <v>5193</v>
      </c>
      <c r="J398" s="171">
        <v>123.34</v>
      </c>
      <c r="K398" s="125">
        <v>123.34</v>
      </c>
      <c r="L398" s="125">
        <v>7159.07</v>
      </c>
      <c r="M398" s="325">
        <v>883000</v>
      </c>
      <c r="N398" s="326">
        <v>7159.07</v>
      </c>
      <c r="O398" s="165">
        <v>810091.74</v>
      </c>
      <c r="P398" s="294" t="s">
        <v>5194</v>
      </c>
      <c r="Q398" s="328">
        <v>45894</v>
      </c>
      <c r="R398" s="223"/>
      <c r="S398" s="224"/>
      <c r="T398" s="174"/>
      <c r="U398" s="224" t="s">
        <v>267</v>
      </c>
      <c r="V398" s="223">
        <v>20000</v>
      </c>
      <c r="W398" s="224">
        <v>45552</v>
      </c>
      <c r="X398" s="223">
        <v>143000</v>
      </c>
      <c r="Y398" s="224" t="s">
        <v>400</v>
      </c>
      <c r="Z398" s="223">
        <v>280000</v>
      </c>
      <c r="AA398" s="224" t="s">
        <v>5195</v>
      </c>
      <c r="AB398" s="223">
        <v>440000</v>
      </c>
      <c r="AC398" s="224" t="s">
        <v>5196</v>
      </c>
      <c r="AD398" s="168"/>
      <c r="AE398" s="168"/>
      <c r="AF398" s="168"/>
      <c r="AG398" s="168"/>
      <c r="AH398" s="223">
        <f t="shared" si="56"/>
        <v>883000</v>
      </c>
      <c r="AK398" s="171">
        <f t="shared" ref="AK398:AK401" si="60">M398-AH398</f>
        <v>0</v>
      </c>
      <c r="AL398" s="295" t="s">
        <v>5197</v>
      </c>
      <c r="AM398" s="329"/>
      <c r="AN398" s="330"/>
      <c r="AO398" s="125">
        <f t="shared" si="57"/>
        <v>883000</v>
      </c>
      <c r="AP398" s="169">
        <f>0.6%+0.1%</f>
        <v>0.007</v>
      </c>
      <c r="AQ398" s="283">
        <f t="shared" si="58"/>
        <v>100</v>
      </c>
      <c r="AR398" s="223"/>
      <c r="AS398" s="223"/>
      <c r="AT398" s="223">
        <v>100</v>
      </c>
      <c r="AU398" s="223"/>
      <c r="AV398" s="223"/>
      <c r="AW398" s="223"/>
      <c r="AX398" s="223"/>
      <c r="AY398" s="223"/>
      <c r="AZ398" s="223"/>
      <c r="BB398" s="223"/>
      <c r="BP398" s="125">
        <v>883000</v>
      </c>
      <c r="BQ398" s="125"/>
      <c r="BR398" s="125"/>
      <c r="BS398" s="125"/>
      <c r="BT398" s="125"/>
      <c r="BU398" s="125"/>
      <c r="BV398" s="125"/>
      <c r="CI398" s="125" t="s">
        <v>260</v>
      </c>
      <c r="CK398" s="125" t="s">
        <v>261</v>
      </c>
    </row>
    <row r="399" s="125" customFormat="1" ht="65" customHeight="1" spans="1:89">
      <c r="A399" s="174">
        <v>320</v>
      </c>
      <c r="C399" s="168">
        <v>45158</v>
      </c>
      <c r="D399" s="294" t="s">
        <v>5198</v>
      </c>
      <c r="F399" s="359" t="s">
        <v>5199</v>
      </c>
      <c r="G399" s="292" t="s">
        <v>5200</v>
      </c>
      <c r="H399" s="1038" t="s">
        <v>5201</v>
      </c>
      <c r="I399" s="281" t="s">
        <v>5202</v>
      </c>
      <c r="J399" s="171">
        <v>140.71</v>
      </c>
      <c r="K399" s="125">
        <v>140.71</v>
      </c>
      <c r="L399" s="125">
        <v>7364.59</v>
      </c>
      <c r="M399" s="325">
        <v>1036271</v>
      </c>
      <c r="N399" s="326">
        <v>7364.59</v>
      </c>
      <c r="O399" s="165">
        <v>950707.34</v>
      </c>
      <c r="P399" s="294" t="s">
        <v>5203</v>
      </c>
      <c r="Q399" s="328">
        <v>45887</v>
      </c>
      <c r="R399" s="223"/>
      <c r="S399" s="224"/>
      <c r="T399" s="1039" t="s">
        <v>5204</v>
      </c>
      <c r="U399" s="286" t="s">
        <v>5205</v>
      </c>
      <c r="V399" s="223">
        <f>10000-10000+10000-10000</f>
        <v>0</v>
      </c>
      <c r="W399" s="286" t="s">
        <v>5206</v>
      </c>
      <c r="X399" s="223">
        <v>10000</v>
      </c>
      <c r="Y399" s="224" t="s">
        <v>1881</v>
      </c>
      <c r="Z399" s="223">
        <v>10000</v>
      </c>
      <c r="AA399" s="224" t="s">
        <v>2516</v>
      </c>
      <c r="AB399" s="223">
        <f>60000+236271</f>
        <v>296271</v>
      </c>
      <c r="AC399" s="224" t="s">
        <v>2517</v>
      </c>
      <c r="AD399" s="168">
        <v>720000</v>
      </c>
      <c r="AE399" s="168" t="s">
        <v>867</v>
      </c>
      <c r="AF399" s="168"/>
      <c r="AG399" s="168"/>
      <c r="AH399" s="223">
        <f t="shared" si="56"/>
        <v>1036271</v>
      </c>
      <c r="AK399" s="171">
        <f t="shared" si="60"/>
        <v>0</v>
      </c>
      <c r="AL399" s="295" t="s">
        <v>5207</v>
      </c>
      <c r="AM399" s="329"/>
      <c r="AN399" s="330"/>
      <c r="AO399" s="125">
        <f t="shared" si="57"/>
        <v>1036271</v>
      </c>
      <c r="AP399" s="166">
        <f>0.5%+0.05%+0.12%</f>
        <v>0.0067</v>
      </c>
      <c r="AQ399" s="283">
        <f t="shared" si="58"/>
        <v>400</v>
      </c>
      <c r="AR399" s="223"/>
      <c r="AS399" s="223"/>
      <c r="AT399" s="223">
        <v>100</v>
      </c>
      <c r="AU399" s="223">
        <v>100</v>
      </c>
      <c r="AV399" s="223"/>
      <c r="AW399" s="223">
        <v>200</v>
      </c>
      <c r="AX399" s="223"/>
      <c r="AY399" s="223"/>
      <c r="AZ399" s="223"/>
      <c r="BA399" s="125">
        <v>316271</v>
      </c>
      <c r="BB399" s="223">
        <v>720000</v>
      </c>
      <c r="CI399" s="125" t="s">
        <v>260</v>
      </c>
      <c r="CJ399" s="125" t="s">
        <v>271</v>
      </c>
      <c r="CK399" s="125" t="s">
        <v>261</v>
      </c>
    </row>
    <row r="400" s="125" customFormat="1" customHeight="1" spans="1:89">
      <c r="A400" s="174">
        <v>321</v>
      </c>
      <c r="B400" s="125"/>
      <c r="C400" s="168">
        <v>45755</v>
      </c>
      <c r="D400" s="294" t="s">
        <v>5208</v>
      </c>
      <c r="F400" s="295" t="s">
        <v>5209</v>
      </c>
      <c r="G400" s="292" t="s">
        <v>5210</v>
      </c>
      <c r="H400" s="174"/>
      <c r="I400" s="284" t="s">
        <v>5211</v>
      </c>
      <c r="J400" s="171">
        <v>138.52</v>
      </c>
      <c r="K400" s="125">
        <v>138.52</v>
      </c>
      <c r="L400" s="125">
        <v>5747</v>
      </c>
      <c r="M400" s="325">
        <v>796074</v>
      </c>
      <c r="N400" s="326">
        <v>5641.71</v>
      </c>
      <c r="O400" s="327">
        <v>730343.12</v>
      </c>
      <c r="P400" s="294" t="s">
        <v>5212</v>
      </c>
      <c r="Q400" s="328">
        <v>45911</v>
      </c>
      <c r="R400" s="223"/>
      <c r="S400" s="224"/>
      <c r="T400" s="174"/>
      <c r="U400" s="286" t="s">
        <v>656</v>
      </c>
      <c r="V400" s="223">
        <v>20000</v>
      </c>
      <c r="W400" s="224" t="s">
        <v>3549</v>
      </c>
      <c r="X400" s="223">
        <v>1074</v>
      </c>
      <c r="Y400" s="224" t="s">
        <v>3570</v>
      </c>
      <c r="Z400" s="223">
        <v>185000</v>
      </c>
      <c r="AA400" s="125" t="s">
        <v>5213</v>
      </c>
      <c r="AB400" s="223">
        <v>590000</v>
      </c>
      <c r="AC400" s="224">
        <v>45867</v>
      </c>
      <c r="AD400" s="223"/>
      <c r="AE400" s="224"/>
      <c r="AH400" s="223">
        <f t="shared" si="56"/>
        <v>796074</v>
      </c>
      <c r="AK400" s="171">
        <f t="shared" si="60"/>
        <v>0</v>
      </c>
      <c r="AL400" s="295" t="s">
        <v>5214</v>
      </c>
      <c r="AM400" s="329" t="s">
        <v>3522</v>
      </c>
      <c r="AN400" s="330"/>
      <c r="AO400" s="125">
        <f t="shared" si="57"/>
        <v>796074</v>
      </c>
      <c r="AP400" s="222">
        <f>0.7%+0.02%+0.08%+0.03%</f>
        <v>0.0083</v>
      </c>
      <c r="AQ400" s="283">
        <f t="shared" si="58"/>
        <v>0</v>
      </c>
      <c r="AR400" s="223"/>
      <c r="AS400" s="223"/>
      <c r="AT400" s="223"/>
      <c r="AU400" s="223"/>
      <c r="AV400" s="223"/>
      <c r="AW400" s="223"/>
      <c r="AX400" s="223"/>
      <c r="AY400" s="223"/>
      <c r="AZ400" s="223"/>
      <c r="BB400" s="223"/>
      <c r="BW400" s="125">
        <v>796074</v>
      </c>
      <c r="CI400" s="125" t="s">
        <v>260</v>
      </c>
      <c r="CK400" s="125" t="s">
        <v>261</v>
      </c>
    </row>
    <row r="401" s="125" customFormat="1" customHeight="1" spans="1:92">
      <c r="A401" s="174">
        <v>322</v>
      </c>
      <c r="B401" s="125"/>
      <c r="C401" s="168">
        <v>45566</v>
      </c>
      <c r="D401" s="294" t="s">
        <v>5215</v>
      </c>
      <c r="F401" s="359" t="s">
        <v>5216</v>
      </c>
      <c r="G401" s="174" t="s">
        <v>5217</v>
      </c>
      <c r="H401" s="1038" t="s">
        <v>5218</v>
      </c>
      <c r="I401" s="281" t="s">
        <v>5219</v>
      </c>
      <c r="J401" s="125">
        <v>138.03</v>
      </c>
      <c r="K401" s="125">
        <v>138.03</v>
      </c>
      <c r="L401" s="125">
        <v>5578.5</v>
      </c>
      <c r="M401" s="325">
        <v>770000</v>
      </c>
      <c r="N401" s="325">
        <v>5578.495</v>
      </c>
      <c r="O401" s="327">
        <v>706422.02</v>
      </c>
      <c r="P401" s="294" t="s">
        <v>5220</v>
      </c>
      <c r="Q401" s="328">
        <v>45887</v>
      </c>
      <c r="R401" s="223"/>
      <c r="S401" s="224"/>
      <c r="T401" s="174"/>
      <c r="U401" s="224" t="s">
        <v>408</v>
      </c>
      <c r="V401" s="223">
        <v>355000</v>
      </c>
      <c r="W401" s="224">
        <v>45552</v>
      </c>
      <c r="X401" s="223">
        <v>395000</v>
      </c>
      <c r="Y401" s="210">
        <v>45553</v>
      </c>
      <c r="Z401" s="223">
        <v>20000</v>
      </c>
      <c r="AA401" s="224" t="s">
        <v>258</v>
      </c>
      <c r="AB401" s="223"/>
      <c r="AH401" s="223">
        <f t="shared" si="56"/>
        <v>770000</v>
      </c>
      <c r="AK401" s="171">
        <f t="shared" si="60"/>
        <v>0</v>
      </c>
      <c r="AL401" s="295" t="s">
        <v>5221</v>
      </c>
      <c r="AM401" s="329"/>
      <c r="AN401" s="330"/>
      <c r="AO401" s="125">
        <f t="shared" si="57"/>
        <v>770000</v>
      </c>
      <c r="AP401" s="166">
        <f>0.5%+0.04%+0.1%</f>
        <v>0.0064</v>
      </c>
      <c r="AQ401" s="283">
        <f t="shared" si="58"/>
        <v>0</v>
      </c>
      <c r="AR401" s="223"/>
      <c r="AS401" s="223"/>
      <c r="AT401" s="223"/>
      <c r="AU401" s="223"/>
      <c r="AV401" s="223"/>
      <c r="AW401" s="223"/>
      <c r="AX401" s="223"/>
      <c r="AY401" s="223"/>
      <c r="AZ401" s="223"/>
      <c r="BB401" s="223"/>
      <c r="BN401" s="125">
        <v>770000</v>
      </c>
      <c r="BO401" s="125"/>
      <c r="BP401" s="125"/>
      <c r="BQ401" s="125"/>
      <c r="BR401" s="125"/>
      <c r="BS401" s="125"/>
      <c r="BT401" s="125"/>
      <c r="BU401" s="125"/>
      <c r="BV401" s="125"/>
      <c r="CI401" s="125" t="s">
        <v>260</v>
      </c>
      <c r="CK401" s="125" t="s">
        <v>261</v>
      </c>
      <c r="CN401" s="175"/>
    </row>
    <row r="402" s="125" customFormat="1" customHeight="1" spans="1:92">
      <c r="A402" s="174">
        <v>323</v>
      </c>
      <c r="C402" s="168">
        <v>45537</v>
      </c>
      <c r="D402" s="294" t="s">
        <v>5222</v>
      </c>
      <c r="F402" s="295" t="s">
        <v>5223</v>
      </c>
      <c r="G402" s="125" t="s">
        <v>5224</v>
      </c>
      <c r="H402" s="1038" t="s">
        <v>5225</v>
      </c>
      <c r="I402" s="284" t="s">
        <v>5226</v>
      </c>
      <c r="J402" s="171">
        <v>138.52</v>
      </c>
      <c r="K402" s="125">
        <v>138.52</v>
      </c>
      <c r="L402" s="125">
        <v>5801.88</v>
      </c>
      <c r="M402" s="325">
        <v>803676</v>
      </c>
      <c r="N402" s="326">
        <v>5801.88</v>
      </c>
      <c r="O402" s="327">
        <v>737317.43</v>
      </c>
      <c r="P402" s="294" t="s">
        <v>5227</v>
      </c>
      <c r="Q402" s="328">
        <v>45889</v>
      </c>
      <c r="R402" s="223"/>
      <c r="S402" s="224"/>
      <c r="T402" s="1038" t="s">
        <v>5228</v>
      </c>
      <c r="U402" s="224" t="s">
        <v>561</v>
      </c>
      <c r="V402" s="223">
        <v>10000</v>
      </c>
      <c r="W402" s="224" t="s">
        <v>491</v>
      </c>
      <c r="X402" s="223">
        <v>10000</v>
      </c>
      <c r="Y402" s="224" t="s">
        <v>2516</v>
      </c>
      <c r="Z402" s="223">
        <v>676</v>
      </c>
      <c r="AA402" s="224">
        <v>45537</v>
      </c>
      <c r="AB402" s="223">
        <v>155000</v>
      </c>
      <c r="AC402" s="168">
        <v>45560</v>
      </c>
      <c r="AD402" s="223">
        <v>628000</v>
      </c>
      <c r="AE402" s="224" t="s">
        <v>2670</v>
      </c>
      <c r="AH402" s="223">
        <f t="shared" si="56"/>
        <v>803676</v>
      </c>
      <c r="AK402" s="171">
        <f t="shared" ref="AK402:AK407" si="61">M402-AH402</f>
        <v>0</v>
      </c>
      <c r="AL402" s="295" t="s">
        <v>5229</v>
      </c>
      <c r="AM402" s="329"/>
      <c r="AN402" s="330"/>
      <c r="AO402" s="125">
        <f t="shared" si="57"/>
        <v>803676</v>
      </c>
      <c r="AP402" s="166">
        <f>0.7%+0.05%+0.12%</f>
        <v>0.0087</v>
      </c>
      <c r="AQ402" s="283">
        <f t="shared" si="58"/>
        <v>200</v>
      </c>
      <c r="AR402" s="223"/>
      <c r="AS402" s="223"/>
      <c r="AT402" s="223"/>
      <c r="AU402" s="223"/>
      <c r="AV402" s="223"/>
      <c r="AW402" s="223">
        <v>200</v>
      </c>
      <c r="AX402" s="223"/>
      <c r="AY402" s="223"/>
      <c r="AZ402" s="223"/>
      <c r="BB402" s="223"/>
      <c r="BM402" s="125">
        <v>175676</v>
      </c>
      <c r="BN402" s="125">
        <v>628000</v>
      </c>
      <c r="CI402" s="125" t="s">
        <v>260</v>
      </c>
      <c r="CK402" s="125" t="s">
        <v>261</v>
      </c>
    </row>
    <row r="403" s="125" customFormat="1" customHeight="1" spans="1:92">
      <c r="A403" s="174">
        <v>324</v>
      </c>
      <c r="C403" s="168">
        <v>45157</v>
      </c>
      <c r="D403" s="294" t="s">
        <v>5230</v>
      </c>
      <c r="F403" s="295" t="s">
        <v>5231</v>
      </c>
      <c r="G403" s="174" t="s">
        <v>5232</v>
      </c>
      <c r="H403" s="1038" t="s">
        <v>5233</v>
      </c>
      <c r="I403" s="281" t="s">
        <v>5234</v>
      </c>
      <c r="J403" s="125">
        <v>138.03</v>
      </c>
      <c r="K403" s="125">
        <v>138.03</v>
      </c>
      <c r="L403" s="125">
        <v>5820.88</v>
      </c>
      <c r="M403" s="325">
        <v>803455</v>
      </c>
      <c r="N403" s="326">
        <v>5820.88</v>
      </c>
      <c r="O403" s="165">
        <v>737114.68</v>
      </c>
      <c r="P403" s="294" t="s">
        <v>5235</v>
      </c>
      <c r="Q403" s="328">
        <v>45889</v>
      </c>
      <c r="R403" s="223"/>
      <c r="S403" s="224"/>
      <c r="T403" s="1038" t="s">
        <v>5236</v>
      </c>
      <c r="U403" s="224" t="s">
        <v>267</v>
      </c>
      <c r="V403" s="223">
        <v>10000</v>
      </c>
      <c r="W403" s="224" t="s">
        <v>5237</v>
      </c>
      <c r="X403" s="223">
        <v>10000</v>
      </c>
      <c r="Y403" s="210" t="s">
        <v>2508</v>
      </c>
      <c r="Z403" s="125">
        <v>143455</v>
      </c>
      <c r="AA403" s="125" t="s">
        <v>2456</v>
      </c>
      <c r="AB403" s="223">
        <v>640000</v>
      </c>
      <c r="AC403" s="224" t="s">
        <v>363</v>
      </c>
      <c r="AH403" s="223">
        <f t="shared" si="56"/>
        <v>803455</v>
      </c>
      <c r="AK403" s="171">
        <f t="shared" si="61"/>
        <v>0</v>
      </c>
      <c r="AL403" s="295"/>
      <c r="AM403" s="329"/>
      <c r="AN403" s="330"/>
      <c r="AO403" s="125">
        <f t="shared" si="57"/>
        <v>803455</v>
      </c>
      <c r="AP403" s="166">
        <f>0.5%+0.12%</f>
        <v>0.0062</v>
      </c>
      <c r="AQ403" s="283">
        <f t="shared" si="58"/>
        <v>300</v>
      </c>
      <c r="AR403" s="223"/>
      <c r="AS403" s="223"/>
      <c r="AT403" s="223"/>
      <c r="AU403" s="223"/>
      <c r="AV403" s="223"/>
      <c r="AW403" s="223">
        <f>100+200</f>
        <v>300</v>
      </c>
      <c r="AX403" s="223"/>
      <c r="AY403" s="223"/>
      <c r="AZ403" s="223">
        <v>163455</v>
      </c>
      <c r="BB403" s="223"/>
      <c r="BG403" s="125">
        <v>640000</v>
      </c>
      <c r="CI403" s="125" t="s">
        <v>260</v>
      </c>
      <c r="CJ403" s="125" t="s">
        <v>271</v>
      </c>
      <c r="CK403" s="125" t="s">
        <v>261</v>
      </c>
    </row>
    <row r="404" s="125" customFormat="1" customHeight="1" spans="1:92">
      <c r="A404" s="174">
        <v>325</v>
      </c>
      <c r="B404" s="125"/>
      <c r="C404" s="168">
        <v>45624</v>
      </c>
      <c r="D404" s="294" t="s">
        <v>5238</v>
      </c>
      <c r="F404" s="295" t="s">
        <v>5239</v>
      </c>
      <c r="G404" s="174" t="s">
        <v>5180</v>
      </c>
      <c r="H404" s="1038" t="s">
        <v>5240</v>
      </c>
      <c r="I404" s="284" t="s">
        <v>5241</v>
      </c>
      <c r="J404" s="171">
        <v>138.52</v>
      </c>
      <c r="K404" s="125">
        <v>138.52</v>
      </c>
      <c r="L404" s="125">
        <v>5847.53</v>
      </c>
      <c r="M404" s="325">
        <v>810000</v>
      </c>
      <c r="N404" s="326">
        <v>5834.48</v>
      </c>
      <c r="O404" s="327">
        <v>743119.27</v>
      </c>
      <c r="P404" s="294" t="s">
        <v>5242</v>
      </c>
      <c r="Q404" s="328">
        <v>45824</v>
      </c>
      <c r="R404" s="223"/>
      <c r="S404" s="224"/>
      <c r="T404" s="174"/>
      <c r="U404" s="224" t="s">
        <v>561</v>
      </c>
      <c r="V404" s="223">
        <v>50000</v>
      </c>
      <c r="W404" s="224">
        <v>45536</v>
      </c>
      <c r="X404" s="223">
        <v>50000</v>
      </c>
      <c r="Y404" s="210">
        <v>45537</v>
      </c>
      <c r="Z404" s="223">
        <v>710000</v>
      </c>
      <c r="AA404" s="224" t="s">
        <v>904</v>
      </c>
      <c r="AB404" s="223"/>
      <c r="AC404" s="168"/>
      <c r="AD404" s="168"/>
      <c r="AE404" s="168"/>
      <c r="AF404" s="168"/>
      <c r="AG404" s="168"/>
      <c r="AH404" s="223">
        <f t="shared" si="56"/>
        <v>810000</v>
      </c>
      <c r="AK404" s="171">
        <f t="shared" si="61"/>
        <v>0</v>
      </c>
      <c r="AL404" s="295" t="s">
        <v>5243</v>
      </c>
      <c r="AM404" s="329" t="s">
        <v>5244</v>
      </c>
      <c r="AN404" s="330"/>
      <c r="AO404" s="125">
        <f t="shared" si="57"/>
        <v>810000</v>
      </c>
      <c r="AP404" s="166">
        <f>0.4%+0.02%+0.1%</f>
        <v>0.0052</v>
      </c>
      <c r="AQ404" s="283">
        <f t="shared" si="58"/>
        <v>100</v>
      </c>
      <c r="AR404" s="223"/>
      <c r="AS404" s="223"/>
      <c r="AT404" s="223"/>
      <c r="AU404" s="223"/>
      <c r="AV404" s="223">
        <v>100</v>
      </c>
      <c r="AW404" s="223"/>
      <c r="AX404" s="223"/>
      <c r="AY404" s="223"/>
      <c r="AZ404" s="223"/>
      <c r="BB404" s="223"/>
      <c r="BO404" s="125">
        <v>810000</v>
      </c>
      <c r="BP404" s="125"/>
      <c r="BQ404" s="125"/>
      <c r="BR404" s="125"/>
      <c r="BS404" s="125"/>
      <c r="BT404" s="125"/>
      <c r="BU404" s="125"/>
      <c r="BV404" s="125"/>
      <c r="CI404" s="125" t="s">
        <v>260</v>
      </c>
      <c r="CK404" s="125" t="s">
        <v>261</v>
      </c>
    </row>
    <row r="405" s="125" customFormat="1" customHeight="1" spans="1:92">
      <c r="A405" s="174">
        <v>326</v>
      </c>
      <c r="C405" s="168">
        <v>45161</v>
      </c>
      <c r="D405" s="294" t="s">
        <v>5245</v>
      </c>
      <c r="F405" s="295" t="s">
        <v>5246</v>
      </c>
      <c r="G405" s="292" t="s">
        <v>5247</v>
      </c>
      <c r="H405" s="1039" t="s">
        <v>5248</v>
      </c>
      <c r="I405" s="281" t="s">
        <v>5249</v>
      </c>
      <c r="J405" s="125">
        <v>138.03</v>
      </c>
      <c r="K405" s="125">
        <v>138.03</v>
      </c>
      <c r="L405" s="125">
        <v>5853.48</v>
      </c>
      <c r="M405" s="325">
        <v>807957</v>
      </c>
      <c r="N405" s="326">
        <v>5853.48</v>
      </c>
      <c r="O405" s="165">
        <v>741244.95</v>
      </c>
      <c r="P405" s="294" t="s">
        <v>5250</v>
      </c>
      <c r="Q405" s="328">
        <v>45889</v>
      </c>
      <c r="R405" s="223"/>
      <c r="S405" s="224"/>
      <c r="T405" s="1038" t="s">
        <v>739</v>
      </c>
      <c r="U405" s="224" t="s">
        <v>408</v>
      </c>
      <c r="V405" s="223">
        <v>10000</v>
      </c>
      <c r="W405" s="224" t="s">
        <v>2594</v>
      </c>
      <c r="X405" s="223">
        <v>10000</v>
      </c>
      <c r="Y405" s="224" t="s">
        <v>2508</v>
      </c>
      <c r="Z405" s="125">
        <v>120000</v>
      </c>
      <c r="AA405" s="125" t="s">
        <v>2516</v>
      </c>
      <c r="AB405" s="223">
        <v>27957</v>
      </c>
      <c r="AC405" s="125" t="s">
        <v>1412</v>
      </c>
      <c r="AD405" s="125">
        <v>640000</v>
      </c>
      <c r="AE405" s="125" t="s">
        <v>1500</v>
      </c>
      <c r="AH405" s="223">
        <f t="shared" si="56"/>
        <v>807957</v>
      </c>
      <c r="AK405" s="171">
        <f t="shared" si="61"/>
        <v>0</v>
      </c>
      <c r="AL405" s="295" t="s">
        <v>5251</v>
      </c>
      <c r="AM405" s="329"/>
      <c r="AN405" s="330"/>
      <c r="AO405" s="125">
        <f t="shared" si="57"/>
        <v>807957</v>
      </c>
      <c r="AP405" s="166">
        <f>0.4%+0.04%+0.12%</f>
        <v>0.0056</v>
      </c>
      <c r="AQ405" s="283">
        <f t="shared" si="58"/>
        <v>200</v>
      </c>
      <c r="AR405" s="223"/>
      <c r="AS405" s="223"/>
      <c r="AT405" s="223"/>
      <c r="AU405" s="223"/>
      <c r="AV405" s="223"/>
      <c r="AW405" s="223">
        <v>200</v>
      </c>
      <c r="AX405" s="223"/>
      <c r="AY405" s="223"/>
      <c r="AZ405" s="223">
        <v>167957</v>
      </c>
      <c r="BB405" s="223"/>
      <c r="BC405" s="125">
        <v>640000</v>
      </c>
      <c r="CI405" s="125" t="s">
        <v>260</v>
      </c>
      <c r="CJ405" s="125" t="s">
        <v>271</v>
      </c>
      <c r="CK405" s="125" t="s">
        <v>261</v>
      </c>
    </row>
    <row r="406" s="125" customFormat="1" customHeight="1" spans="1:92">
      <c r="A406" s="174">
        <v>327</v>
      </c>
      <c r="C406" s="168">
        <v>45222</v>
      </c>
      <c r="D406" s="294" t="s">
        <v>5252</v>
      </c>
      <c r="F406" s="1037" t="s">
        <v>5253</v>
      </c>
      <c r="G406" s="174" t="s">
        <v>5254</v>
      </c>
      <c r="H406" s="1038" t="s">
        <v>5255</v>
      </c>
      <c r="I406" s="284" t="s">
        <v>5256</v>
      </c>
      <c r="J406" s="171">
        <v>138.52</v>
      </c>
      <c r="K406" s="125">
        <v>138.52</v>
      </c>
      <c r="L406" s="125">
        <v>5908.83</v>
      </c>
      <c r="M406" s="325">
        <v>818492</v>
      </c>
      <c r="N406" s="326">
        <v>5908.83</v>
      </c>
      <c r="O406" s="165">
        <v>750910.09</v>
      </c>
      <c r="P406" s="294" t="s">
        <v>5257</v>
      </c>
      <c r="Q406" s="328">
        <v>45889</v>
      </c>
      <c r="R406" s="223"/>
      <c r="S406" s="224"/>
      <c r="T406" s="174"/>
      <c r="U406" s="224" t="s">
        <v>370</v>
      </c>
      <c r="V406" s="223">
        <v>20000</v>
      </c>
      <c r="W406" s="224" t="s">
        <v>455</v>
      </c>
      <c r="X406" s="223">
        <v>158492</v>
      </c>
      <c r="Y406" s="224" t="s">
        <v>447</v>
      </c>
      <c r="Z406" s="213">
        <v>20000</v>
      </c>
      <c r="AA406" s="168" t="s">
        <v>867</v>
      </c>
      <c r="AB406" s="223">
        <v>620000</v>
      </c>
      <c r="AC406" s="168" t="s">
        <v>1500</v>
      </c>
      <c r="AD406" s="168"/>
      <c r="AE406" s="168"/>
      <c r="AF406" s="168"/>
      <c r="AG406" s="168"/>
      <c r="AH406" s="223">
        <f t="shared" si="56"/>
        <v>818492</v>
      </c>
      <c r="AK406" s="171">
        <f t="shared" si="61"/>
        <v>0</v>
      </c>
      <c r="AL406" s="295" t="s">
        <v>5258</v>
      </c>
      <c r="AM406" s="329"/>
      <c r="AN406" s="330"/>
      <c r="AO406" s="125">
        <f t="shared" si="57"/>
        <v>818492</v>
      </c>
      <c r="AP406" s="166">
        <f>0.7%+0.05%+0.12%</f>
        <v>0.0087</v>
      </c>
      <c r="AQ406" s="283">
        <f t="shared" si="58"/>
        <v>100</v>
      </c>
      <c r="AR406" s="223"/>
      <c r="AS406" s="223">
        <v>100</v>
      </c>
      <c r="AT406" s="223"/>
      <c r="AU406" s="223"/>
      <c r="AV406" s="223"/>
      <c r="AW406" s="223"/>
      <c r="AX406" s="223"/>
      <c r="AY406" s="223"/>
      <c r="AZ406" s="223"/>
      <c r="BB406" s="223">
        <v>198492</v>
      </c>
      <c r="BC406" s="125">
        <v>620000</v>
      </c>
      <c r="CI406" s="125" t="s">
        <v>260</v>
      </c>
      <c r="CJ406" s="125" t="s">
        <v>271</v>
      </c>
      <c r="CK406" s="125" t="s">
        <v>261</v>
      </c>
    </row>
    <row r="407" s="125" customFormat="1" ht="60" customHeight="1" spans="1:92">
      <c r="A407" s="174">
        <v>328</v>
      </c>
      <c r="C407" s="168">
        <v>45164</v>
      </c>
      <c r="D407" s="294" t="s">
        <v>5259</v>
      </c>
      <c r="F407" s="295" t="s">
        <v>5260</v>
      </c>
      <c r="G407" s="292" t="s">
        <v>5261</v>
      </c>
      <c r="H407" s="174"/>
      <c r="I407" s="281" t="s">
        <v>5262</v>
      </c>
      <c r="J407" s="125">
        <v>138.03</v>
      </c>
      <c r="K407" s="125">
        <v>138.03</v>
      </c>
      <c r="L407" s="125">
        <v>5927.835</v>
      </c>
      <c r="M407" s="325">
        <v>818219</v>
      </c>
      <c r="N407" s="326">
        <v>5927.83</v>
      </c>
      <c r="O407" s="165">
        <v>750659.63</v>
      </c>
      <c r="P407" s="294" t="s">
        <v>5263</v>
      </c>
      <c r="Q407" s="328">
        <v>45889</v>
      </c>
      <c r="R407" s="223"/>
      <c r="S407" s="224"/>
      <c r="T407" s="1039" t="s">
        <v>5264</v>
      </c>
      <c r="U407" s="286" t="s">
        <v>5265</v>
      </c>
      <c r="V407" s="223">
        <f>10000-10000</f>
        <v>0</v>
      </c>
      <c r="W407" s="224" t="s">
        <v>2225</v>
      </c>
      <c r="X407" s="223">
        <v>10000</v>
      </c>
      <c r="Y407" s="224" t="s">
        <v>2508</v>
      </c>
      <c r="Z407" s="125">
        <v>219</v>
      </c>
      <c r="AA407" s="125" t="s">
        <v>2526</v>
      </c>
      <c r="AB407" s="223">
        <v>10000</v>
      </c>
      <c r="AC407" s="168" t="s">
        <v>1690</v>
      </c>
      <c r="AD407" s="223">
        <v>298000</v>
      </c>
      <c r="AE407" s="224" t="s">
        <v>847</v>
      </c>
      <c r="AF407" s="223">
        <v>500000</v>
      </c>
      <c r="AG407" s="224" t="s">
        <v>2712</v>
      </c>
      <c r="AH407" s="223">
        <f t="shared" si="56"/>
        <v>818219</v>
      </c>
      <c r="AK407" s="171">
        <f t="shared" si="61"/>
        <v>0</v>
      </c>
      <c r="AL407" s="295"/>
      <c r="AM407" s="329"/>
      <c r="AN407" s="330"/>
      <c r="AO407" s="125">
        <f t="shared" si="57"/>
        <v>818219</v>
      </c>
      <c r="AP407" s="166">
        <f>0.4%+0.02%+0.12%</f>
        <v>0.0054</v>
      </c>
      <c r="AQ407" s="283">
        <f t="shared" si="58"/>
        <v>300</v>
      </c>
      <c r="AR407" s="223"/>
      <c r="AS407" s="223">
        <v>100</v>
      </c>
      <c r="AT407" s="223"/>
      <c r="AU407" s="223"/>
      <c r="AV407" s="223"/>
      <c r="AW407" s="223">
        <v>200</v>
      </c>
      <c r="AX407" s="223"/>
      <c r="AY407" s="223"/>
      <c r="AZ407" s="223"/>
      <c r="BB407" s="223">
        <v>318219</v>
      </c>
      <c r="BD407" s="125">
        <v>500000</v>
      </c>
      <c r="CI407" s="125" t="s">
        <v>260</v>
      </c>
      <c r="CJ407" s="125" t="s">
        <v>271</v>
      </c>
      <c r="CK407" s="125" t="s">
        <v>261</v>
      </c>
    </row>
    <row r="408" s="125" customFormat="1" ht="49" customHeight="1" spans="1:92">
      <c r="A408" s="174">
        <v>329</v>
      </c>
      <c r="C408" s="168">
        <v>45175</v>
      </c>
      <c r="D408" s="125">
        <v>20230007702</v>
      </c>
      <c r="F408" s="295" t="s">
        <v>5266</v>
      </c>
      <c r="G408" s="292" t="s">
        <v>5267</v>
      </c>
      <c r="H408" s="1038" t="s">
        <v>5268</v>
      </c>
      <c r="I408" s="284" t="s">
        <v>5269</v>
      </c>
      <c r="J408" s="171">
        <v>138.52</v>
      </c>
      <c r="K408" s="125">
        <v>138.52</v>
      </c>
      <c r="L408" s="125">
        <v>5977.75</v>
      </c>
      <c r="M408" s="325">
        <v>828038</v>
      </c>
      <c r="N408" s="223">
        <v>5977.75</v>
      </c>
      <c r="O408" s="165">
        <v>759667.89</v>
      </c>
      <c r="P408" s="295" t="s">
        <v>5270</v>
      </c>
      <c r="Q408" s="210">
        <v>45887</v>
      </c>
      <c r="R408" s="223"/>
      <c r="S408" s="224"/>
      <c r="T408" s="1039" t="s">
        <v>5271</v>
      </c>
      <c r="U408" s="286" t="s">
        <v>5272</v>
      </c>
      <c r="V408" s="223">
        <f>10000-10000</f>
        <v>0</v>
      </c>
      <c r="W408" s="224" t="s">
        <v>3027</v>
      </c>
      <c r="X408" s="223">
        <v>10000</v>
      </c>
      <c r="Y408" s="224" t="s">
        <v>1738</v>
      </c>
      <c r="Z408" s="223">
        <v>10000</v>
      </c>
      <c r="AA408" s="224" t="s">
        <v>2508</v>
      </c>
      <c r="AB408" s="223">
        <v>1038</v>
      </c>
      <c r="AC408" s="224" t="s">
        <v>1882</v>
      </c>
      <c r="AD408" s="125">
        <v>177000</v>
      </c>
      <c r="AE408" s="125" t="s">
        <v>959</v>
      </c>
      <c r="AF408" s="223">
        <v>630000</v>
      </c>
      <c r="AG408" s="224" t="s">
        <v>305</v>
      </c>
      <c r="AH408" s="223">
        <f t="shared" si="56"/>
        <v>828038</v>
      </c>
      <c r="AK408" s="171">
        <f t="shared" ref="AK408:AK419" si="62">M408-AH408</f>
        <v>0</v>
      </c>
      <c r="AL408" s="295" t="s">
        <v>5273</v>
      </c>
      <c r="AM408" s="329"/>
      <c r="AN408" s="339"/>
      <c r="AO408" s="125">
        <f t="shared" si="57"/>
        <v>828038</v>
      </c>
      <c r="AP408" s="166">
        <f>0.4%+0.04%+0.12%</f>
        <v>0.0056</v>
      </c>
      <c r="AQ408" s="283">
        <f t="shared" si="58"/>
        <v>300</v>
      </c>
      <c r="AR408" s="223"/>
      <c r="AS408" s="223">
        <v>100</v>
      </c>
      <c r="AT408" s="223"/>
      <c r="AU408" s="223"/>
      <c r="AV408" s="223"/>
      <c r="AW408" s="223">
        <v>200</v>
      </c>
      <c r="AX408" s="223"/>
      <c r="AY408" s="223"/>
      <c r="AZ408" s="223"/>
      <c r="BB408" s="223">
        <v>198038</v>
      </c>
      <c r="BC408" s="125">
        <v>630000</v>
      </c>
      <c r="CI408" s="125" t="s">
        <v>260</v>
      </c>
      <c r="CJ408" s="125" t="s">
        <v>271</v>
      </c>
      <c r="CK408" s="125" t="s">
        <v>261</v>
      </c>
    </row>
    <row r="409" s="125" customFormat="1" ht="44" customHeight="1" spans="1:92">
      <c r="A409" s="174">
        <v>330</v>
      </c>
      <c r="C409" s="168">
        <v>45568</v>
      </c>
      <c r="D409" s="294" t="s">
        <v>5274</v>
      </c>
      <c r="F409" s="295" t="s">
        <v>5275</v>
      </c>
      <c r="G409" s="292" t="s">
        <v>5276</v>
      </c>
      <c r="H409" s="1038" t="s">
        <v>5277</v>
      </c>
      <c r="I409" s="281" t="s">
        <v>5278</v>
      </c>
      <c r="J409" s="125">
        <v>138.03</v>
      </c>
      <c r="K409" s="125">
        <v>138.03</v>
      </c>
      <c r="L409" s="125">
        <v>5976.96</v>
      </c>
      <c r="M409" s="325">
        <v>825000</v>
      </c>
      <c r="N409" s="326">
        <v>5996.75</v>
      </c>
      <c r="O409" s="327">
        <v>756880.73</v>
      </c>
      <c r="P409" s="294" t="s">
        <v>5279</v>
      </c>
      <c r="Q409" s="328">
        <v>45888</v>
      </c>
      <c r="R409" s="223"/>
      <c r="S409" s="224"/>
      <c r="T409" s="1039" t="s">
        <v>5280</v>
      </c>
      <c r="U409" s="286" t="s">
        <v>294</v>
      </c>
      <c r="V409" s="223">
        <v>10000</v>
      </c>
      <c r="W409" s="286" t="s">
        <v>2447</v>
      </c>
      <c r="X409" s="223">
        <f>10000</f>
        <v>10000</v>
      </c>
      <c r="Y409" s="224" t="s">
        <v>1935</v>
      </c>
      <c r="Z409" s="223">
        <v>151000</v>
      </c>
      <c r="AA409" s="224" t="s">
        <v>770</v>
      </c>
      <c r="AB409" s="223">
        <v>300000</v>
      </c>
      <c r="AC409" s="224" t="s">
        <v>2916</v>
      </c>
      <c r="AD409" s="223">
        <v>150000</v>
      </c>
      <c r="AE409" s="224" t="s">
        <v>2689</v>
      </c>
      <c r="AF409" s="223">
        <f>214000-10000</f>
        <v>204000</v>
      </c>
      <c r="AG409" s="224" t="s">
        <v>5281</v>
      </c>
      <c r="AH409" s="223">
        <f t="shared" si="56"/>
        <v>825000</v>
      </c>
      <c r="AK409" s="171">
        <f t="shared" si="62"/>
        <v>0</v>
      </c>
      <c r="AL409" s="295" t="s">
        <v>5282</v>
      </c>
      <c r="AM409" s="329"/>
      <c r="AN409" s="330"/>
      <c r="AO409" s="125">
        <f t="shared" si="57"/>
        <v>825000</v>
      </c>
      <c r="AP409" s="166">
        <f>0.7%+0.12%</f>
        <v>0.0082</v>
      </c>
      <c r="AQ409" s="283">
        <f t="shared" si="58"/>
        <v>300</v>
      </c>
      <c r="AR409" s="283">
        <v>100</v>
      </c>
      <c r="AS409" s="223"/>
      <c r="AT409" s="223"/>
      <c r="AU409" s="223"/>
      <c r="AV409" s="223"/>
      <c r="AW409" s="223">
        <v>200</v>
      </c>
      <c r="AX409" s="223"/>
      <c r="AY409" s="223"/>
      <c r="AZ409" s="223"/>
      <c r="BB409" s="223"/>
      <c r="BO409" s="125">
        <v>171000</v>
      </c>
      <c r="BU409" s="125">
        <v>654000</v>
      </c>
      <c r="CI409" s="125" t="s">
        <v>260</v>
      </c>
      <c r="CK409" s="125" t="s">
        <v>261</v>
      </c>
    </row>
    <row r="410" s="125" customFormat="1" customHeight="1" spans="1:92">
      <c r="A410" s="174">
        <v>331</v>
      </c>
      <c r="C410" s="168">
        <v>45174</v>
      </c>
      <c r="D410" s="337" t="s">
        <v>5283</v>
      </c>
      <c r="F410" s="295" t="s">
        <v>5284</v>
      </c>
      <c r="G410" s="292" t="s">
        <v>5285</v>
      </c>
      <c r="H410" s="1038" t="s">
        <v>5286</v>
      </c>
      <c r="I410" s="281" t="s">
        <v>5287</v>
      </c>
      <c r="J410" s="171">
        <v>138.52</v>
      </c>
      <c r="K410" s="125">
        <v>138.52</v>
      </c>
      <c r="L410" s="364">
        <v>6026.66</v>
      </c>
      <c r="M410" s="325">
        <v>834813</v>
      </c>
      <c r="N410" s="326">
        <v>6026.66</v>
      </c>
      <c r="O410" s="165">
        <v>765883.49</v>
      </c>
      <c r="P410" s="294" t="s">
        <v>5288</v>
      </c>
      <c r="Q410" s="328">
        <v>45889</v>
      </c>
      <c r="R410" s="223"/>
      <c r="S410" s="224"/>
      <c r="T410" s="1039" t="s">
        <v>2142</v>
      </c>
      <c r="U410" s="286" t="s">
        <v>267</v>
      </c>
      <c r="V410" s="223">
        <v>10000</v>
      </c>
      <c r="W410" s="224" t="s">
        <v>1691</v>
      </c>
      <c r="X410" s="223">
        <v>10000</v>
      </c>
      <c r="Y410" s="224" t="s">
        <v>2508</v>
      </c>
      <c r="Z410" s="223">
        <f>40000+68813</f>
        <v>108813</v>
      </c>
      <c r="AA410" s="224" t="s">
        <v>5289</v>
      </c>
      <c r="AB410" s="223">
        <v>46000</v>
      </c>
      <c r="AC410" s="224" t="s">
        <v>679</v>
      </c>
      <c r="AD410" s="223">
        <v>660000</v>
      </c>
      <c r="AE410" s="224" t="s">
        <v>4213</v>
      </c>
      <c r="AF410" s="168"/>
      <c r="AG410" s="168"/>
      <c r="AH410" s="223">
        <f t="shared" si="56"/>
        <v>834813</v>
      </c>
      <c r="AK410" s="171">
        <f t="shared" si="62"/>
        <v>0</v>
      </c>
      <c r="AL410" s="295" t="s">
        <v>5290</v>
      </c>
      <c r="AM410" s="329"/>
      <c r="AN410" s="330"/>
      <c r="AO410" s="125">
        <f t="shared" si="57"/>
        <v>834813</v>
      </c>
      <c r="AP410" s="166">
        <f>0.5%+0.12%</f>
        <v>0.0062</v>
      </c>
      <c r="AQ410" s="283">
        <f t="shared" si="58"/>
        <v>300</v>
      </c>
      <c r="AR410" s="223"/>
      <c r="AS410" s="223">
        <v>100</v>
      </c>
      <c r="AT410" s="223"/>
      <c r="AU410" s="223"/>
      <c r="AV410" s="223"/>
      <c r="AW410" s="223">
        <v>200</v>
      </c>
      <c r="AX410" s="223"/>
      <c r="AY410" s="223"/>
      <c r="AZ410" s="223"/>
      <c r="BB410" s="223">
        <v>174813</v>
      </c>
      <c r="BC410" s="125">
        <v>660000</v>
      </c>
      <c r="CI410" s="125" t="s">
        <v>260</v>
      </c>
      <c r="CJ410" s="125" t="s">
        <v>271</v>
      </c>
      <c r="CK410" s="125" t="s">
        <v>261</v>
      </c>
    </row>
    <row r="411" s="125" customFormat="1" customHeight="1" spans="1:92">
      <c r="A411" s="174">
        <v>332</v>
      </c>
      <c r="C411" s="168">
        <v>45198</v>
      </c>
      <c r="D411" s="294" t="s">
        <v>5291</v>
      </c>
      <c r="F411" s="295" t="s">
        <v>5292</v>
      </c>
      <c r="G411" s="174" t="s">
        <v>5293</v>
      </c>
      <c r="H411" s="1038" t="s">
        <v>5294</v>
      </c>
      <c r="I411" s="284" t="s">
        <v>5295</v>
      </c>
      <c r="J411" s="125">
        <v>138.03</v>
      </c>
      <c r="K411" s="125">
        <v>138.03</v>
      </c>
      <c r="L411" s="125">
        <v>6045.66</v>
      </c>
      <c r="M411" s="325">
        <v>834484</v>
      </c>
      <c r="N411" s="326">
        <v>6045.66</v>
      </c>
      <c r="O411" s="165">
        <v>765581.65</v>
      </c>
      <c r="P411" s="294" t="s">
        <v>5296</v>
      </c>
      <c r="Q411" s="328">
        <v>45889</v>
      </c>
      <c r="R411" s="223"/>
      <c r="S411" s="224"/>
      <c r="T411" s="1038" t="s">
        <v>5297</v>
      </c>
      <c r="U411" s="224" t="s">
        <v>546</v>
      </c>
      <c r="V411" s="223">
        <v>10000</v>
      </c>
      <c r="W411" s="224" t="s">
        <v>883</v>
      </c>
      <c r="X411" s="223">
        <v>10000</v>
      </c>
      <c r="Y411" s="224" t="s">
        <v>2508</v>
      </c>
      <c r="Z411" s="223">
        <v>334484</v>
      </c>
      <c r="AA411" s="224" t="s">
        <v>455</v>
      </c>
      <c r="AB411" s="223">
        <v>200000</v>
      </c>
      <c r="AC411" s="224" t="s">
        <v>304</v>
      </c>
      <c r="AD411" s="223">
        <v>280000</v>
      </c>
      <c r="AE411" s="224" t="s">
        <v>598</v>
      </c>
      <c r="AH411" s="223">
        <f t="shared" si="56"/>
        <v>834484</v>
      </c>
      <c r="AK411" s="171">
        <f t="shared" si="62"/>
        <v>0</v>
      </c>
      <c r="AL411" s="295" t="s">
        <v>5298</v>
      </c>
      <c r="AM411" s="329"/>
      <c r="AN411" s="330"/>
      <c r="AO411" s="125">
        <f t="shared" si="57"/>
        <v>834484</v>
      </c>
      <c r="AP411" s="166">
        <f>0.7%+0.12%</f>
        <v>0.0082</v>
      </c>
      <c r="AQ411" s="283">
        <f t="shared" si="58"/>
        <v>400</v>
      </c>
      <c r="AR411" s="223"/>
      <c r="AS411" s="223">
        <v>100</v>
      </c>
      <c r="AT411" s="223"/>
      <c r="AU411" s="223"/>
      <c r="AV411" s="223">
        <v>100</v>
      </c>
      <c r="AW411" s="223">
        <v>200</v>
      </c>
      <c r="AX411" s="223"/>
      <c r="AY411" s="223"/>
      <c r="AZ411" s="223"/>
      <c r="BB411" s="223"/>
      <c r="BC411" s="125">
        <v>554484</v>
      </c>
      <c r="BD411" s="125">
        <v>280000</v>
      </c>
      <c r="CI411" s="125" t="s">
        <v>260</v>
      </c>
      <c r="CJ411" s="125" t="s">
        <v>271</v>
      </c>
      <c r="CK411" s="125" t="s">
        <v>261</v>
      </c>
    </row>
    <row r="412" s="125" customFormat="1" ht="39" customHeight="1" spans="1:92">
      <c r="A412" s="174">
        <v>333</v>
      </c>
      <c r="C412" s="168">
        <v>45566</v>
      </c>
      <c r="D412" s="294" t="s">
        <v>5299</v>
      </c>
      <c r="F412" s="295" t="s">
        <v>5300</v>
      </c>
      <c r="G412" s="292" t="s">
        <v>5301</v>
      </c>
      <c r="H412" s="1038" t="s">
        <v>5302</v>
      </c>
      <c r="I412" s="284" t="s">
        <v>5303</v>
      </c>
      <c r="J412" s="171">
        <v>138.52</v>
      </c>
      <c r="K412" s="125">
        <v>138.52</v>
      </c>
      <c r="L412" s="125">
        <f>M412/K412</f>
        <v>5753.82616228703</v>
      </c>
      <c r="M412" s="325">
        <v>797020</v>
      </c>
      <c r="N412" s="361">
        <v>5753.826</v>
      </c>
      <c r="O412" s="327">
        <v>731211.01</v>
      </c>
      <c r="P412" s="294" t="s">
        <v>5304</v>
      </c>
      <c r="Q412" s="328">
        <v>45887</v>
      </c>
      <c r="R412" s="223"/>
      <c r="S412" s="224"/>
      <c r="T412" s="292"/>
      <c r="U412" s="286" t="s">
        <v>257</v>
      </c>
      <c r="V412" s="223">
        <v>20000</v>
      </c>
      <c r="W412" s="224" t="s">
        <v>5305</v>
      </c>
      <c r="X412" s="223">
        <v>111020</v>
      </c>
      <c r="Y412" s="224" t="s">
        <v>258</v>
      </c>
      <c r="Z412" s="213">
        <v>29000</v>
      </c>
      <c r="AA412" s="125" t="s">
        <v>5306</v>
      </c>
      <c r="AB412" s="223">
        <v>637000</v>
      </c>
      <c r="AC412" s="224" t="s">
        <v>394</v>
      </c>
      <c r="AH412" s="223">
        <f t="shared" si="56"/>
        <v>797020</v>
      </c>
      <c r="AK412" s="171">
        <f t="shared" si="62"/>
        <v>0</v>
      </c>
      <c r="AL412" s="295" t="s">
        <v>5307</v>
      </c>
      <c r="AM412" s="329" t="s">
        <v>5308</v>
      </c>
      <c r="AN412" s="330"/>
      <c r="AO412" s="125">
        <f t="shared" si="57"/>
        <v>797020</v>
      </c>
      <c r="AP412" s="169">
        <f>0.7%+0.04%+0.08%</f>
        <v>0.0082</v>
      </c>
      <c r="AQ412" s="283">
        <f t="shared" si="58"/>
        <v>300</v>
      </c>
      <c r="AR412" s="223"/>
      <c r="AS412" s="223">
        <v>100</v>
      </c>
      <c r="AT412" s="223">
        <v>100</v>
      </c>
      <c r="AU412" s="223"/>
      <c r="AV412" s="223">
        <v>100</v>
      </c>
      <c r="AW412" s="223"/>
      <c r="AX412" s="223"/>
      <c r="AY412" s="223"/>
      <c r="AZ412" s="223"/>
      <c r="BB412" s="223"/>
      <c r="BO412" s="125">
        <v>797020</v>
      </c>
      <c r="CI412" s="125" t="s">
        <v>260</v>
      </c>
      <c r="CK412" s="125" t="s">
        <v>261</v>
      </c>
    </row>
    <row r="413" s="125" customFormat="1" customHeight="1" spans="1:92">
      <c r="A413" s="174">
        <v>334</v>
      </c>
      <c r="C413" s="168">
        <v>45203</v>
      </c>
      <c r="D413" s="294" t="s">
        <v>5309</v>
      </c>
      <c r="F413" s="295" t="s">
        <v>5310</v>
      </c>
      <c r="G413" s="174" t="s">
        <v>5311</v>
      </c>
      <c r="H413" s="1038" t="s">
        <v>5312</v>
      </c>
      <c r="I413" s="281" t="s">
        <v>5313</v>
      </c>
      <c r="J413" s="125">
        <v>138.03</v>
      </c>
      <c r="K413" s="125">
        <v>138.03</v>
      </c>
      <c r="L413" s="125">
        <v>6072.83</v>
      </c>
      <c r="M413" s="325">
        <v>838233</v>
      </c>
      <c r="N413" s="326">
        <v>6072.83</v>
      </c>
      <c r="O413" s="165">
        <v>769021.1</v>
      </c>
      <c r="P413" s="294" t="s">
        <v>5314</v>
      </c>
      <c r="Q413" s="365">
        <v>45889</v>
      </c>
      <c r="R413" s="223"/>
      <c r="S413" s="366"/>
      <c r="T413" s="1038" t="s">
        <v>1964</v>
      </c>
      <c r="U413" s="224" t="s">
        <v>294</v>
      </c>
      <c r="V413" s="223">
        <v>10000</v>
      </c>
      <c r="W413" s="286" t="s">
        <v>2783</v>
      </c>
      <c r="X413" s="223">
        <v>10000</v>
      </c>
      <c r="Y413" s="366" t="s">
        <v>2516</v>
      </c>
      <c r="Z413" s="223">
        <v>50000</v>
      </c>
      <c r="AA413" s="366" t="s">
        <v>5315</v>
      </c>
      <c r="AB413" s="223">
        <v>50233</v>
      </c>
      <c r="AC413" s="366" t="s">
        <v>2797</v>
      </c>
      <c r="AD413" s="125">
        <v>48000</v>
      </c>
      <c r="AE413" s="125" t="s">
        <v>4459</v>
      </c>
      <c r="AF413" s="223">
        <v>670000</v>
      </c>
      <c r="AG413" s="366" t="s">
        <v>2291</v>
      </c>
      <c r="AH413" s="223">
        <f t="shared" si="56"/>
        <v>838233</v>
      </c>
      <c r="AK413" s="171">
        <f t="shared" si="62"/>
        <v>0</v>
      </c>
      <c r="AL413" s="295" t="s">
        <v>5316</v>
      </c>
      <c r="AM413" s="329"/>
      <c r="AN413" s="330"/>
      <c r="AO413" s="125">
        <f t="shared" si="57"/>
        <v>838233</v>
      </c>
      <c r="AP413" s="166">
        <f>0.7%+0.05%+0.12%</f>
        <v>0.0087</v>
      </c>
      <c r="AQ413" s="283">
        <f t="shared" si="58"/>
        <v>200</v>
      </c>
      <c r="AR413" s="223"/>
      <c r="AS413" s="223"/>
      <c r="AT413" s="223"/>
      <c r="AU413" s="223"/>
      <c r="AV413" s="223"/>
      <c r="AW413" s="223">
        <v>200</v>
      </c>
      <c r="AX413" s="223"/>
      <c r="AY413" s="223"/>
      <c r="AZ413" s="223"/>
      <c r="BB413" s="223">
        <v>168233</v>
      </c>
      <c r="BC413" s="125">
        <v>670000</v>
      </c>
      <c r="CI413" s="125" t="s">
        <v>260</v>
      </c>
      <c r="CJ413" s="125" t="s">
        <v>271</v>
      </c>
      <c r="CK413" s="125" t="s">
        <v>261</v>
      </c>
    </row>
    <row r="414" s="125" customFormat="1" ht="46" customHeight="1" spans="1:92">
      <c r="A414" s="174">
        <v>335</v>
      </c>
      <c r="C414" s="168">
        <v>45165</v>
      </c>
      <c r="D414" s="294" t="s">
        <v>5317</v>
      </c>
      <c r="F414" s="295" t="s">
        <v>5318</v>
      </c>
      <c r="G414" s="292" t="s">
        <v>5319</v>
      </c>
      <c r="H414" s="1038" t="s">
        <v>5320</v>
      </c>
      <c r="I414" s="284" t="s">
        <v>5321</v>
      </c>
      <c r="J414" s="171">
        <v>138.52</v>
      </c>
      <c r="K414" s="125">
        <v>138.52</v>
      </c>
      <c r="L414" s="125">
        <v>6082.75</v>
      </c>
      <c r="M414" s="325">
        <v>842587</v>
      </c>
      <c r="N414" s="326">
        <v>6082.75</v>
      </c>
      <c r="O414" s="165">
        <v>773015.6</v>
      </c>
      <c r="P414" s="294" t="s">
        <v>5322</v>
      </c>
      <c r="Q414" s="328">
        <v>45887</v>
      </c>
      <c r="R414" s="223"/>
      <c r="S414" s="224"/>
      <c r="T414" s="1039" t="s">
        <v>5323</v>
      </c>
      <c r="U414" s="286" t="s">
        <v>5324</v>
      </c>
      <c r="V414" s="223">
        <f>10000-10000</f>
        <v>0</v>
      </c>
      <c r="W414" s="224" t="s">
        <v>1690</v>
      </c>
      <c r="X414" s="223">
        <v>10000</v>
      </c>
      <c r="Y414" s="224" t="s">
        <v>2362</v>
      </c>
      <c r="Z414" s="223">
        <v>10000</v>
      </c>
      <c r="AA414" s="224" t="s">
        <v>2508</v>
      </c>
      <c r="AB414" s="223">
        <f>310000+112587+40000</f>
        <v>462587</v>
      </c>
      <c r="AC414" s="125" t="s">
        <v>2290</v>
      </c>
      <c r="AD414" s="223">
        <v>360000</v>
      </c>
      <c r="AE414" s="224" t="s">
        <v>3995</v>
      </c>
      <c r="AH414" s="223">
        <f t="shared" si="56"/>
        <v>842587</v>
      </c>
      <c r="AK414" s="171">
        <f t="shared" si="62"/>
        <v>0</v>
      </c>
      <c r="AL414" s="295" t="s">
        <v>5325</v>
      </c>
      <c r="AM414" s="329"/>
      <c r="AN414" s="330"/>
      <c r="AO414" s="125">
        <f t="shared" si="57"/>
        <v>842587</v>
      </c>
      <c r="AP414" s="166">
        <f>0.4%+0.02%+0.12%</f>
        <v>0.0054</v>
      </c>
      <c r="AQ414" s="283">
        <f t="shared" si="58"/>
        <v>300</v>
      </c>
      <c r="AR414" s="223"/>
      <c r="AS414" s="223">
        <v>100</v>
      </c>
      <c r="AT414" s="223"/>
      <c r="AU414" s="223"/>
      <c r="AV414" s="223"/>
      <c r="AW414" s="223">
        <v>200</v>
      </c>
      <c r="AX414" s="223"/>
      <c r="AY414" s="223"/>
      <c r="AZ414" s="223">
        <v>482587</v>
      </c>
      <c r="BB414" s="223"/>
      <c r="BG414" s="125">
        <v>360000</v>
      </c>
      <c r="CI414" s="125" t="s">
        <v>260</v>
      </c>
      <c r="CJ414" s="125" t="s">
        <v>271</v>
      </c>
      <c r="CK414" s="125" t="s">
        <v>261</v>
      </c>
    </row>
    <row r="415" s="125" customFormat="1" customHeight="1" spans="1:92">
      <c r="A415" s="174">
        <v>336</v>
      </c>
      <c r="C415" s="168">
        <v>45203</v>
      </c>
      <c r="D415" s="295" t="s">
        <v>5326</v>
      </c>
      <c r="F415" s="295" t="s">
        <v>5327</v>
      </c>
      <c r="G415" s="292" t="s">
        <v>5328</v>
      </c>
      <c r="H415" s="1038" t="s">
        <v>5329</v>
      </c>
      <c r="I415" s="281" t="s">
        <v>5330</v>
      </c>
      <c r="J415" s="125">
        <v>138.03</v>
      </c>
      <c r="K415" s="125">
        <v>138.03</v>
      </c>
      <c r="L415" s="125">
        <v>6101.75</v>
      </c>
      <c r="M415" s="325">
        <v>842224</v>
      </c>
      <c r="N415" s="326">
        <v>6101.75</v>
      </c>
      <c r="O415" s="165">
        <v>772682.57</v>
      </c>
      <c r="P415" s="294" t="s">
        <v>5331</v>
      </c>
      <c r="Q415" s="328">
        <v>45887</v>
      </c>
      <c r="R415" s="223"/>
      <c r="S415" s="224"/>
      <c r="T415" s="1039" t="s">
        <v>5332</v>
      </c>
      <c r="U415" s="286" t="s">
        <v>294</v>
      </c>
      <c r="V415" s="223">
        <v>10000</v>
      </c>
      <c r="W415" s="286" t="s">
        <v>2783</v>
      </c>
      <c r="X415" s="223">
        <v>10000</v>
      </c>
      <c r="Y415" s="224" t="s">
        <v>2516</v>
      </c>
      <c r="Z415" s="223">
        <v>50000</v>
      </c>
      <c r="AA415" s="224" t="s">
        <v>447</v>
      </c>
      <c r="AB415" s="223">
        <v>50224</v>
      </c>
      <c r="AC415" s="125" t="s">
        <v>2797</v>
      </c>
      <c r="AD415" s="223">
        <v>49000</v>
      </c>
      <c r="AE415" s="224" t="s">
        <v>473</v>
      </c>
      <c r="AF415" s="125">
        <v>673000</v>
      </c>
      <c r="AG415" s="125" t="s">
        <v>2291</v>
      </c>
      <c r="AH415" s="223">
        <f t="shared" si="56"/>
        <v>842224</v>
      </c>
      <c r="AK415" s="171">
        <f t="shared" si="62"/>
        <v>0</v>
      </c>
      <c r="AL415" s="295" t="s">
        <v>5333</v>
      </c>
      <c r="AM415" s="329"/>
      <c r="AN415" s="330"/>
      <c r="AO415" s="125">
        <f t="shared" si="57"/>
        <v>842224</v>
      </c>
      <c r="AP415" s="166">
        <f>0.7%+0.05%+0.12%</f>
        <v>0.0087</v>
      </c>
      <c r="AQ415" s="283">
        <f t="shared" si="58"/>
        <v>300</v>
      </c>
      <c r="AR415" s="223"/>
      <c r="AS415" s="223"/>
      <c r="AT415" s="223">
        <v>100</v>
      </c>
      <c r="AU415" s="223"/>
      <c r="AV415" s="223"/>
      <c r="AW415" s="223">
        <v>200</v>
      </c>
      <c r="AX415" s="223"/>
      <c r="AY415" s="223"/>
      <c r="AZ415" s="223"/>
      <c r="BB415" s="223"/>
      <c r="BC415" s="125">
        <v>842224</v>
      </c>
      <c r="CI415" s="125" t="s">
        <v>260</v>
      </c>
      <c r="CJ415" s="125" t="s">
        <v>271</v>
      </c>
      <c r="CK415" s="125" t="s">
        <v>261</v>
      </c>
    </row>
    <row r="416" s="125" customFormat="1" ht="44" customHeight="1" spans="1:92">
      <c r="A416" s="174">
        <v>337</v>
      </c>
      <c r="C416" s="168">
        <v>45247</v>
      </c>
      <c r="D416" s="125">
        <v>20230009950</v>
      </c>
      <c r="F416" s="295" t="s">
        <v>5334</v>
      </c>
      <c r="G416" s="292" t="s">
        <v>5335</v>
      </c>
      <c r="H416" s="1038" t="s">
        <v>5336</v>
      </c>
      <c r="I416" s="284" t="s">
        <v>5337</v>
      </c>
      <c r="J416" s="171">
        <v>138.52</v>
      </c>
      <c r="K416" s="125">
        <v>138.52</v>
      </c>
      <c r="L416" s="125">
        <v>6050</v>
      </c>
      <c r="M416" s="325">
        <f>K416*L416</f>
        <v>838046</v>
      </c>
      <c r="N416" s="223">
        <f>6104.48-54.48</f>
        <v>6050</v>
      </c>
      <c r="O416" s="165">
        <v>768849.54</v>
      </c>
      <c r="P416" s="1037" t="s">
        <v>5338</v>
      </c>
      <c r="Q416" s="210">
        <v>45887</v>
      </c>
      <c r="R416" s="223"/>
      <c r="S416" s="224"/>
      <c r="T416" s="292" t="s">
        <v>5339</v>
      </c>
      <c r="U416" s="286" t="s">
        <v>5340</v>
      </c>
      <c r="V416" s="223">
        <v>10000</v>
      </c>
      <c r="W416" s="224" t="s">
        <v>2438</v>
      </c>
      <c r="X416" s="223">
        <v>40000</v>
      </c>
      <c r="Y416" s="224" t="s">
        <v>827</v>
      </c>
      <c r="Z416" s="125">
        <v>108046</v>
      </c>
      <c r="AA416" s="168" t="s">
        <v>5341</v>
      </c>
      <c r="AB416" s="223">
        <v>90000</v>
      </c>
      <c r="AC416" s="125" t="s">
        <v>4445</v>
      </c>
      <c r="AD416" s="223">
        <v>600000</v>
      </c>
      <c r="AE416" s="224" t="s">
        <v>4744</v>
      </c>
      <c r="AF416" s="125">
        <v>-10000</v>
      </c>
      <c r="AG416" s="168">
        <v>46042</v>
      </c>
      <c r="AH416" s="223">
        <f t="shared" si="56"/>
        <v>838046</v>
      </c>
      <c r="AK416" s="171">
        <f t="shared" si="62"/>
        <v>0</v>
      </c>
      <c r="AL416" s="295" t="s">
        <v>5342</v>
      </c>
      <c r="AM416" s="329" t="s">
        <v>3284</v>
      </c>
      <c r="AN416" s="339"/>
      <c r="AO416" s="125">
        <f t="shared" si="57"/>
        <v>838046</v>
      </c>
      <c r="AP416" s="166">
        <f>0.5%+0.02%+0.08%</f>
        <v>0.006</v>
      </c>
      <c r="AQ416" s="283">
        <f t="shared" si="58"/>
        <v>100</v>
      </c>
      <c r="AR416" s="223"/>
      <c r="AS416" s="223"/>
      <c r="AT416" s="223">
        <v>100</v>
      </c>
      <c r="AU416" s="223"/>
      <c r="AV416" s="223"/>
      <c r="AW416" s="223"/>
      <c r="AX416" s="223"/>
      <c r="AY416" s="223"/>
      <c r="AZ416" s="223"/>
      <c r="BB416" s="223"/>
      <c r="BC416" s="125">
        <v>238046</v>
      </c>
      <c r="BD416" s="125">
        <v>600000</v>
      </c>
      <c r="CI416" s="125" t="s">
        <v>260</v>
      </c>
      <c r="CJ416" s="125" t="s">
        <v>271</v>
      </c>
      <c r="CK416" s="125" t="s">
        <v>261</v>
      </c>
    </row>
    <row r="417" s="125" customFormat="1" customHeight="1" spans="1:89">
      <c r="A417" s="174">
        <v>338</v>
      </c>
      <c r="C417" s="168">
        <v>45177</v>
      </c>
      <c r="D417" s="125">
        <v>20230007694</v>
      </c>
      <c r="F417" s="295" t="s">
        <v>5343</v>
      </c>
      <c r="G417" s="292" t="s">
        <v>5344</v>
      </c>
      <c r="H417" s="292"/>
      <c r="I417" s="281" t="s">
        <v>5345</v>
      </c>
      <c r="J417" s="125">
        <v>138.03</v>
      </c>
      <c r="K417" s="125">
        <v>138.03</v>
      </c>
      <c r="L417" s="125">
        <v>6073.48</v>
      </c>
      <c r="M417" s="325">
        <v>838322</v>
      </c>
      <c r="N417" s="223">
        <f>6123.48-50</f>
        <v>6073.48</v>
      </c>
      <c r="O417" s="165">
        <v>769102.75</v>
      </c>
      <c r="P417" s="295" t="s">
        <v>5346</v>
      </c>
      <c r="Q417" s="210">
        <v>45887</v>
      </c>
      <c r="R417" s="223"/>
      <c r="S417" s="224"/>
      <c r="T417" s="174"/>
      <c r="U417" s="224" t="s">
        <v>294</v>
      </c>
      <c r="V417" s="223">
        <f>30000+198322</f>
        <v>228322</v>
      </c>
      <c r="W417" s="224" t="s">
        <v>1882</v>
      </c>
      <c r="X417" s="223">
        <v>110000</v>
      </c>
      <c r="Y417" s="224" t="s">
        <v>5347</v>
      </c>
      <c r="Z417" s="223">
        <v>500000</v>
      </c>
      <c r="AA417" s="224" t="s">
        <v>2291</v>
      </c>
      <c r="AB417" s="223"/>
      <c r="AH417" s="223">
        <f t="shared" si="56"/>
        <v>838322</v>
      </c>
      <c r="AK417" s="171">
        <f t="shared" si="62"/>
        <v>0</v>
      </c>
      <c r="AL417" s="295"/>
      <c r="AM417" s="329" t="s">
        <v>3284</v>
      </c>
      <c r="AN417" s="339"/>
      <c r="AO417" s="125">
        <f t="shared" si="57"/>
        <v>838322</v>
      </c>
      <c r="AP417" s="166">
        <f>0.6%+0.04%+0.12%</f>
        <v>0.0076</v>
      </c>
      <c r="AQ417" s="283">
        <f t="shared" si="58"/>
        <v>0</v>
      </c>
      <c r="AR417" s="223"/>
      <c r="AS417" s="223"/>
      <c r="AT417" s="223"/>
      <c r="AU417" s="223"/>
      <c r="AV417" s="223"/>
      <c r="AW417" s="223"/>
      <c r="AX417" s="223"/>
      <c r="AY417" s="223"/>
      <c r="AZ417" s="223"/>
      <c r="BB417" s="223">
        <v>338322</v>
      </c>
      <c r="BC417" s="125">
        <v>500000</v>
      </c>
      <c r="CI417" s="125" t="s">
        <v>260</v>
      </c>
      <c r="CJ417" s="125" t="s">
        <v>271</v>
      </c>
      <c r="CK417" s="125" t="s">
        <v>261</v>
      </c>
    </row>
    <row r="418" s="125" customFormat="1" customHeight="1" spans="1:89">
      <c r="A418" s="174">
        <v>339</v>
      </c>
      <c r="C418" s="168">
        <v>45476</v>
      </c>
      <c r="D418" s="294" t="s">
        <v>5348</v>
      </c>
      <c r="F418" s="295" t="s">
        <v>5349</v>
      </c>
      <c r="G418" s="174" t="s">
        <v>5350</v>
      </c>
      <c r="H418" s="1038" t="s">
        <v>5351</v>
      </c>
      <c r="I418" s="284" t="s">
        <v>5352</v>
      </c>
      <c r="J418" s="171">
        <v>138.52</v>
      </c>
      <c r="K418" s="125">
        <v>138.52</v>
      </c>
      <c r="L418" s="125">
        <v>7200</v>
      </c>
      <c r="M418" s="325">
        <v>997344</v>
      </c>
      <c r="N418" s="326">
        <v>7112.59</v>
      </c>
      <c r="O418" s="327">
        <v>914994.5</v>
      </c>
      <c r="P418" s="294" t="s">
        <v>5353</v>
      </c>
      <c r="Q418" s="328">
        <v>45889</v>
      </c>
      <c r="R418" s="223"/>
      <c r="S418" s="224"/>
      <c r="T418" s="174"/>
      <c r="U418" s="224" t="s">
        <v>561</v>
      </c>
      <c r="V418" s="223">
        <v>20000</v>
      </c>
      <c r="W418" s="224" t="s">
        <v>4495</v>
      </c>
      <c r="X418" s="223">
        <v>277344</v>
      </c>
      <c r="Y418" s="224" t="s">
        <v>4828</v>
      </c>
      <c r="Z418" s="223">
        <v>700000</v>
      </c>
      <c r="AA418" s="224" t="s">
        <v>3683</v>
      </c>
      <c r="AB418" s="223"/>
      <c r="AC418" s="168"/>
      <c r="AD418" s="168"/>
      <c r="AE418" s="168"/>
      <c r="AF418" s="168"/>
      <c r="AG418" s="168"/>
      <c r="AH418" s="223">
        <f t="shared" si="56"/>
        <v>997344</v>
      </c>
      <c r="AK418" s="171">
        <f t="shared" si="62"/>
        <v>0</v>
      </c>
      <c r="AL418" s="295" t="s">
        <v>5354</v>
      </c>
      <c r="AM418" s="329"/>
      <c r="AN418" s="330"/>
      <c r="AO418" s="125">
        <f t="shared" si="57"/>
        <v>997344</v>
      </c>
      <c r="AP418" s="169">
        <f>0.7%+0.02%+0.08%</f>
        <v>0.008</v>
      </c>
      <c r="AQ418" s="283">
        <f t="shared" si="58"/>
        <v>0</v>
      </c>
      <c r="AR418" s="223"/>
      <c r="AS418" s="223"/>
      <c r="AT418" s="223"/>
      <c r="AU418" s="223"/>
      <c r="AV418" s="223"/>
      <c r="AW418" s="223"/>
      <c r="AX418" s="223"/>
      <c r="AY418" s="223"/>
      <c r="AZ418" s="223"/>
      <c r="BB418" s="223"/>
      <c r="BK418" s="125">
        <v>297344</v>
      </c>
      <c r="BL418" s="125">
        <v>700000</v>
      </c>
      <c r="CI418" s="125" t="s">
        <v>260</v>
      </c>
      <c r="CJ418" s="125" t="s">
        <v>271</v>
      </c>
      <c r="CK418" s="125" t="s">
        <v>261</v>
      </c>
    </row>
    <row r="419" s="125" customFormat="1" customHeight="1" spans="1:89">
      <c r="A419" s="174">
        <v>340</v>
      </c>
      <c r="B419" s="125"/>
      <c r="C419" s="168">
        <v>45623</v>
      </c>
      <c r="D419" s="125">
        <v>20240006840</v>
      </c>
      <c r="F419" s="295" t="s">
        <v>5355</v>
      </c>
      <c r="G419" s="174" t="s">
        <v>5356</v>
      </c>
      <c r="H419" s="1038" t="s">
        <v>5357</v>
      </c>
      <c r="I419" s="281" t="s">
        <v>5358</v>
      </c>
      <c r="J419" s="125">
        <v>138.03</v>
      </c>
      <c r="K419" s="125">
        <v>138.03</v>
      </c>
      <c r="L419" s="125">
        <v>6820</v>
      </c>
      <c r="M419" s="325">
        <v>941365</v>
      </c>
      <c r="N419" s="223">
        <v>6820</v>
      </c>
      <c r="O419" s="165">
        <v>863637.61</v>
      </c>
      <c r="P419" s="295" t="s">
        <v>5359</v>
      </c>
      <c r="Q419" s="210">
        <v>45887</v>
      </c>
      <c r="R419" s="223"/>
      <c r="S419" s="224"/>
      <c r="T419" s="174"/>
      <c r="U419" s="224" t="s">
        <v>2160</v>
      </c>
      <c r="V419" s="223">
        <v>11365</v>
      </c>
      <c r="W419" s="224" t="s">
        <v>392</v>
      </c>
      <c r="X419" s="223">
        <v>190000</v>
      </c>
      <c r="Y419" s="224" t="s">
        <v>4431</v>
      </c>
      <c r="Z419" s="125">
        <v>740000</v>
      </c>
      <c r="AA419" s="168" t="s">
        <v>409</v>
      </c>
      <c r="AB419" s="223"/>
      <c r="AH419" s="223">
        <f t="shared" si="56"/>
        <v>941365</v>
      </c>
      <c r="AK419" s="171">
        <f t="shared" si="62"/>
        <v>0</v>
      </c>
      <c r="AL419" s="295" t="s">
        <v>5360</v>
      </c>
      <c r="AM419" s="329" t="s">
        <v>3284</v>
      </c>
      <c r="AN419" s="339"/>
      <c r="AO419" s="125">
        <f t="shared" si="57"/>
        <v>941365</v>
      </c>
      <c r="AP419" s="166">
        <f>0.6%+0.02%+0.08%+0.03%</f>
        <v>0.0073</v>
      </c>
      <c r="AQ419" s="283">
        <f t="shared" si="58"/>
        <v>0</v>
      </c>
      <c r="AR419" s="223"/>
      <c r="AS419" s="223"/>
      <c r="AT419" s="223"/>
      <c r="AU419" s="223"/>
      <c r="AV419" s="223"/>
      <c r="AW419" s="223"/>
      <c r="AX419" s="223"/>
      <c r="AY419" s="223"/>
      <c r="AZ419" s="223"/>
      <c r="BB419" s="223"/>
      <c r="BR419" s="125">
        <v>941365</v>
      </c>
      <c r="CI419" s="125" t="s">
        <v>260</v>
      </c>
      <c r="CK419" s="125" t="s">
        <v>261</v>
      </c>
    </row>
    <row r="420" s="125" customFormat="1" ht="50" customHeight="1" spans="1:89">
      <c r="A420" s="174">
        <v>341</v>
      </c>
      <c r="C420" s="168">
        <v>45353</v>
      </c>
      <c r="D420" s="125">
        <v>20240001110</v>
      </c>
      <c r="F420" s="295" t="s">
        <v>5361</v>
      </c>
      <c r="G420" s="175" t="s">
        <v>5362</v>
      </c>
      <c r="H420" s="1037" t="s">
        <v>5363</v>
      </c>
      <c r="I420" s="284" t="s">
        <v>5364</v>
      </c>
      <c r="J420" s="125">
        <v>122.85</v>
      </c>
      <c r="K420" s="125">
        <v>122.85</v>
      </c>
      <c r="L420" s="125">
        <v>7374.85</v>
      </c>
      <c r="M420" s="325">
        <v>906000</v>
      </c>
      <c r="N420" s="223">
        <v>7374.59</v>
      </c>
      <c r="O420" s="165">
        <v>831192.66</v>
      </c>
      <c r="P420" s="295" t="s">
        <v>5365</v>
      </c>
      <c r="Q420" s="210">
        <v>45887</v>
      </c>
      <c r="R420" s="223"/>
      <c r="S420" s="286"/>
      <c r="T420" s="292"/>
      <c r="U420" s="286" t="s">
        <v>284</v>
      </c>
      <c r="V420" s="223">
        <v>20000</v>
      </c>
      <c r="W420" s="286" t="s">
        <v>363</v>
      </c>
      <c r="X420" s="125">
        <f>206000+50000</f>
        <v>256000</v>
      </c>
      <c r="Y420" s="125" t="s">
        <v>3702</v>
      </c>
      <c r="Z420" s="223">
        <v>630000</v>
      </c>
      <c r="AA420" s="286" t="s">
        <v>5156</v>
      </c>
      <c r="AB420" s="223"/>
      <c r="AH420" s="223">
        <f t="shared" si="56"/>
        <v>906000</v>
      </c>
      <c r="AK420" s="171">
        <f t="shared" ref="AK420:AK425" si="63">M420-AH420</f>
        <v>0</v>
      </c>
      <c r="AL420" s="295" t="s">
        <v>5366</v>
      </c>
      <c r="AM420" s="329"/>
      <c r="AO420" s="125">
        <f t="shared" si="57"/>
        <v>906000</v>
      </c>
      <c r="AP420" s="169">
        <f>0.6%+0.04%+0.14%</f>
        <v>0.0078</v>
      </c>
      <c r="AQ420" s="283">
        <f t="shared" si="58"/>
        <v>200</v>
      </c>
      <c r="AR420" s="223"/>
      <c r="AS420" s="223"/>
      <c r="AT420" s="223">
        <f>100+100</f>
        <v>200</v>
      </c>
      <c r="AU420" s="223"/>
      <c r="AV420" s="223"/>
      <c r="AW420" s="223"/>
      <c r="AX420" s="223"/>
      <c r="AY420" s="223"/>
      <c r="AZ420" s="223"/>
      <c r="BB420" s="223"/>
      <c r="BG420" s="125">
        <v>276000</v>
      </c>
      <c r="BM420" s="125">
        <v>630000</v>
      </c>
      <c r="CI420" s="125" t="s">
        <v>260</v>
      </c>
      <c r="CJ420" s="125" t="s">
        <v>271</v>
      </c>
      <c r="CK420" s="125" t="s">
        <v>261</v>
      </c>
    </row>
    <row r="421" s="125" customFormat="1" ht="47" customHeight="1" spans="1:89">
      <c r="A421" s="174">
        <v>342</v>
      </c>
      <c r="C421" s="168">
        <v>45301</v>
      </c>
      <c r="D421" s="125">
        <v>20240000219</v>
      </c>
      <c r="F421" s="295" t="s">
        <v>5367</v>
      </c>
      <c r="G421" s="175" t="s">
        <v>5368</v>
      </c>
      <c r="H421" s="1037" t="s">
        <v>5369</v>
      </c>
      <c r="I421" s="281" t="s">
        <v>5370</v>
      </c>
      <c r="J421" s="125">
        <v>150.17</v>
      </c>
      <c r="K421" s="125">
        <v>150.17</v>
      </c>
      <c r="L421" s="125">
        <v>7384.59</v>
      </c>
      <c r="M421" s="325">
        <v>1108944</v>
      </c>
      <c r="N421" s="223">
        <v>7384.59</v>
      </c>
      <c r="O421" s="165">
        <v>1017379.82</v>
      </c>
      <c r="P421" s="295" t="s">
        <v>5371</v>
      </c>
      <c r="Q421" s="210">
        <v>45894</v>
      </c>
      <c r="R421" s="223"/>
      <c r="S421" s="224"/>
      <c r="T421" s="1039" t="s">
        <v>5372</v>
      </c>
      <c r="U421" s="286" t="s">
        <v>5373</v>
      </c>
      <c r="V421" s="223">
        <f>10000-10000</f>
        <v>0</v>
      </c>
      <c r="W421" s="224" t="s">
        <v>1472</v>
      </c>
      <c r="X421" s="223">
        <v>10000</v>
      </c>
      <c r="Y421" s="224" t="s">
        <v>1090</v>
      </c>
      <c r="Z421" s="223">
        <v>10000</v>
      </c>
      <c r="AA421" s="224" t="s">
        <v>2516</v>
      </c>
      <c r="AB421" s="223">
        <v>80000</v>
      </c>
      <c r="AC421" s="224" t="s">
        <v>2602</v>
      </c>
      <c r="AD421" s="223">
        <v>100944</v>
      </c>
      <c r="AE421" s="224" t="s">
        <v>287</v>
      </c>
      <c r="AF421" s="223">
        <f>18000+90000+800000</f>
        <v>908000</v>
      </c>
      <c r="AG421" s="286" t="s">
        <v>5374</v>
      </c>
      <c r="AH421" s="223">
        <f t="shared" si="56"/>
        <v>1108944</v>
      </c>
      <c r="AK421" s="171">
        <f t="shared" si="63"/>
        <v>0</v>
      </c>
      <c r="AL421" s="295" t="s">
        <v>5375</v>
      </c>
      <c r="AM421" s="329"/>
      <c r="AO421" s="125">
        <f t="shared" si="57"/>
        <v>1108944</v>
      </c>
      <c r="AP421" s="166">
        <f>0.4%+0.02%+0.12%</f>
        <v>0.0054</v>
      </c>
      <c r="AQ421" s="283">
        <f t="shared" si="58"/>
        <v>300</v>
      </c>
      <c r="AR421" s="223"/>
      <c r="AS421" s="223">
        <v>100</v>
      </c>
      <c r="AT421" s="223"/>
      <c r="AU421" s="223"/>
      <c r="AV421" s="223"/>
      <c r="AW421" s="223">
        <v>200</v>
      </c>
      <c r="AX421" s="223"/>
      <c r="AY421" s="223"/>
      <c r="AZ421" s="223"/>
      <c r="BB421" s="223"/>
      <c r="BG421" s="125">
        <v>308944</v>
      </c>
      <c r="BI421" s="125">
        <v>800000</v>
      </c>
      <c r="CI421" s="125" t="s">
        <v>260</v>
      </c>
      <c r="CJ421" s="125" t="s">
        <v>271</v>
      </c>
      <c r="CK421" s="125" t="s">
        <v>261</v>
      </c>
    </row>
    <row r="422" s="125" customFormat="1" customHeight="1" spans="1:89">
      <c r="A422" s="174">
        <v>343</v>
      </c>
      <c r="B422" s="125"/>
      <c r="C422" s="168">
        <v>45641</v>
      </c>
      <c r="D422" s="125">
        <v>20240007219</v>
      </c>
      <c r="F422" s="295" t="s">
        <v>5376</v>
      </c>
      <c r="G422" s="125" t="s">
        <v>5377</v>
      </c>
      <c r="I422" s="284" t="s">
        <v>5378</v>
      </c>
      <c r="J422" s="125">
        <v>138.03</v>
      </c>
      <c r="K422" s="125">
        <v>138.03</v>
      </c>
      <c r="L422" s="125">
        <v>5723.39</v>
      </c>
      <c r="M422" s="325">
        <v>790000</v>
      </c>
      <c r="N422" s="223">
        <v>5723.39</v>
      </c>
      <c r="O422" s="327">
        <v>724770.64</v>
      </c>
      <c r="P422" s="295" t="s">
        <v>5379</v>
      </c>
      <c r="Q422" s="210">
        <v>45894</v>
      </c>
      <c r="R422" s="223"/>
      <c r="S422" s="224"/>
      <c r="T422" s="174"/>
      <c r="U422" s="224" t="s">
        <v>408</v>
      </c>
      <c r="V422" s="223">
        <v>20000</v>
      </c>
      <c r="W422" s="224">
        <v>45538</v>
      </c>
      <c r="X422" s="223">
        <v>100000</v>
      </c>
      <c r="Y422" s="224" t="s">
        <v>5380</v>
      </c>
      <c r="Z422" s="223">
        <v>670000</v>
      </c>
      <c r="AA422" s="224" t="s">
        <v>4579</v>
      </c>
      <c r="AB422" s="223"/>
      <c r="AH422" s="223">
        <f t="shared" si="56"/>
        <v>790000</v>
      </c>
      <c r="AK422" s="171">
        <f t="shared" si="63"/>
        <v>0</v>
      </c>
      <c r="AL422" s="295"/>
      <c r="AM422" s="329" t="s">
        <v>5244</v>
      </c>
      <c r="AO422" s="125">
        <f t="shared" si="57"/>
        <v>790000</v>
      </c>
      <c r="AP422" s="166">
        <f>0.5%+0.04%+0.1%</f>
        <v>0.0064</v>
      </c>
      <c r="AQ422" s="283">
        <f t="shared" si="58"/>
        <v>100</v>
      </c>
      <c r="AR422" s="223"/>
      <c r="AS422" s="223"/>
      <c r="AT422" s="223"/>
      <c r="AU422" s="223"/>
      <c r="AV422" s="223">
        <v>100</v>
      </c>
      <c r="AW422" s="223"/>
      <c r="AX422" s="223"/>
      <c r="AY422" s="223"/>
      <c r="AZ422" s="223"/>
      <c r="BB422" s="223"/>
      <c r="BP422" s="125">
        <v>120000</v>
      </c>
      <c r="BQ422" s="125">
        <v>670000</v>
      </c>
      <c r="BR422" s="125"/>
      <c r="BS422" s="125"/>
      <c r="BT422" s="125"/>
      <c r="BU422" s="125"/>
      <c r="BV422" s="125"/>
      <c r="CI422" s="125" t="s">
        <v>260</v>
      </c>
      <c r="CK422" s="125" t="s">
        <v>261</v>
      </c>
    </row>
    <row r="423" s="125" customFormat="1" customHeight="1" spans="1:89">
      <c r="A423" s="174">
        <v>344</v>
      </c>
      <c r="B423" s="125"/>
      <c r="C423" s="168">
        <v>45593</v>
      </c>
      <c r="D423" s="125">
        <v>20240006325</v>
      </c>
      <c r="F423" s="295" t="s">
        <v>5381</v>
      </c>
      <c r="G423" s="125" t="s">
        <v>5382</v>
      </c>
      <c r="H423" s="1037" t="s">
        <v>5383</v>
      </c>
      <c r="I423" s="281" t="s">
        <v>5384</v>
      </c>
      <c r="J423" s="125">
        <v>147.25</v>
      </c>
      <c r="K423" s="125">
        <v>147.25</v>
      </c>
      <c r="L423" s="125">
        <v>5691</v>
      </c>
      <c r="M423" s="325">
        <v>838000</v>
      </c>
      <c r="N423" s="223">
        <v>5757.82</v>
      </c>
      <c r="O423" s="327">
        <v>768807.34</v>
      </c>
      <c r="P423" s="295" t="s">
        <v>5385</v>
      </c>
      <c r="Q423" s="210">
        <v>45894</v>
      </c>
      <c r="R423" s="223"/>
      <c r="S423" s="224"/>
      <c r="T423" s="174"/>
      <c r="U423" s="224" t="s">
        <v>408</v>
      </c>
      <c r="V423" s="223">
        <v>20000</v>
      </c>
      <c r="W423" s="224" t="s">
        <v>592</v>
      </c>
      <c r="X423" s="223">
        <v>388000</v>
      </c>
      <c r="Y423" s="336" t="s">
        <v>381</v>
      </c>
      <c r="Z423" s="223">
        <v>430000</v>
      </c>
      <c r="AA423" s="224" t="s">
        <v>3264</v>
      </c>
      <c r="AB423" s="223"/>
      <c r="AH423" s="223">
        <f t="shared" si="56"/>
        <v>838000</v>
      </c>
      <c r="AK423" s="171">
        <f t="shared" si="63"/>
        <v>0</v>
      </c>
      <c r="AL423" s="295" t="s">
        <v>5386</v>
      </c>
      <c r="AM423" s="329" t="s">
        <v>3284</v>
      </c>
      <c r="AO423" s="125">
        <f t="shared" si="57"/>
        <v>838000</v>
      </c>
      <c r="AP423" s="166">
        <f>0.6%+0.02%+0.08%</f>
        <v>0.007</v>
      </c>
      <c r="AQ423" s="283">
        <f t="shared" si="58"/>
        <v>0</v>
      </c>
      <c r="AR423" s="223"/>
      <c r="AS423" s="223"/>
      <c r="AT423" s="223"/>
      <c r="AU423" s="223"/>
      <c r="AV423" s="223"/>
      <c r="AW423" s="223"/>
      <c r="AX423" s="223"/>
      <c r="AY423" s="223"/>
      <c r="AZ423" s="223"/>
      <c r="BB423" s="223"/>
      <c r="BO423" s="125">
        <v>838000</v>
      </c>
      <c r="CI423" s="125" t="s">
        <v>260</v>
      </c>
      <c r="CK423" s="125" t="s">
        <v>261</v>
      </c>
    </row>
    <row r="424" s="125" customFormat="1" ht="49" customHeight="1" spans="1:89">
      <c r="A424" s="174">
        <v>345</v>
      </c>
      <c r="C424" s="168">
        <v>45159</v>
      </c>
      <c r="D424" s="125">
        <v>20230007093</v>
      </c>
      <c r="F424" s="295" t="s">
        <v>5387</v>
      </c>
      <c r="G424" s="125" t="s">
        <v>5388</v>
      </c>
      <c r="H424" s="1037" t="s">
        <v>5389</v>
      </c>
      <c r="I424" s="284" t="s">
        <v>5390</v>
      </c>
      <c r="J424" s="125">
        <v>138.03</v>
      </c>
      <c r="K424" s="125">
        <v>138.03</v>
      </c>
      <c r="L424" s="125">
        <v>5827.4</v>
      </c>
      <c r="M424" s="325">
        <v>804356</v>
      </c>
      <c r="N424" s="223">
        <v>5827.4</v>
      </c>
      <c r="O424" s="165">
        <v>737941.28</v>
      </c>
      <c r="P424" s="295" t="s">
        <v>5391</v>
      </c>
      <c r="Q424" s="210">
        <v>45894</v>
      </c>
      <c r="R424" s="223"/>
      <c r="S424" s="224"/>
      <c r="T424" s="1038" t="s">
        <v>2385</v>
      </c>
      <c r="U424" s="224" t="s">
        <v>294</v>
      </c>
      <c r="V424" s="223">
        <v>10000</v>
      </c>
      <c r="W424" s="336" t="s">
        <v>917</v>
      </c>
      <c r="X424" s="223">
        <v>10000</v>
      </c>
      <c r="Y424" s="224" t="s">
        <v>2508</v>
      </c>
      <c r="Z424" s="125">
        <v>224356</v>
      </c>
      <c r="AA424" s="125" t="s">
        <v>1782</v>
      </c>
      <c r="AB424" s="223">
        <v>560000</v>
      </c>
      <c r="AC424" s="224" t="s">
        <v>1500</v>
      </c>
      <c r="AH424" s="223">
        <f t="shared" si="56"/>
        <v>804356</v>
      </c>
      <c r="AK424" s="171">
        <f t="shared" si="63"/>
        <v>0</v>
      </c>
      <c r="AL424" s="295" t="s">
        <v>5392</v>
      </c>
      <c r="AM424" s="329"/>
      <c r="AO424" s="125">
        <f t="shared" si="57"/>
        <v>804356</v>
      </c>
      <c r="AP424" s="166">
        <f>0.7%+0.05%+0.12%</f>
        <v>0.0087</v>
      </c>
      <c r="AQ424" s="283">
        <f t="shared" si="58"/>
        <v>200</v>
      </c>
      <c r="AR424" s="223"/>
      <c r="AS424" s="223"/>
      <c r="AT424" s="223"/>
      <c r="AU424" s="223"/>
      <c r="AV424" s="223"/>
      <c r="AW424" s="223">
        <v>200</v>
      </c>
      <c r="AX424" s="223"/>
      <c r="AY424" s="223"/>
      <c r="AZ424" s="223"/>
      <c r="BB424" s="223"/>
      <c r="BC424" s="125">
        <v>804356</v>
      </c>
      <c r="CI424" s="125" t="s">
        <v>260</v>
      </c>
      <c r="CJ424" s="125" t="s">
        <v>271</v>
      </c>
      <c r="CK424" s="125" t="s">
        <v>261</v>
      </c>
    </row>
    <row r="425" s="125" customFormat="1" customHeight="1" spans="1:89">
      <c r="A425" s="174">
        <v>346</v>
      </c>
      <c r="C425" s="168">
        <v>45472</v>
      </c>
      <c r="D425" s="125">
        <v>20240003721</v>
      </c>
      <c r="F425" s="295" t="s">
        <v>5393</v>
      </c>
      <c r="G425" s="175" t="s">
        <v>5394</v>
      </c>
      <c r="H425" s="1037" t="s">
        <v>5395</v>
      </c>
      <c r="I425" s="284" t="s">
        <v>5396</v>
      </c>
      <c r="J425" s="125">
        <v>147.25</v>
      </c>
      <c r="K425" s="125">
        <v>147.25</v>
      </c>
      <c r="L425" s="125">
        <f>M425/K425</f>
        <v>5512.46859083192</v>
      </c>
      <c r="M425" s="325">
        <v>811711</v>
      </c>
      <c r="N425" s="285">
        <v>5700</v>
      </c>
      <c r="O425" s="165">
        <v>744688.99</v>
      </c>
      <c r="P425" s="295" t="s">
        <v>5397</v>
      </c>
      <c r="Q425" s="210">
        <v>45908</v>
      </c>
      <c r="R425" s="223"/>
      <c r="S425" s="286"/>
      <c r="T425" s="292"/>
      <c r="U425" s="286" t="s">
        <v>257</v>
      </c>
      <c r="V425" s="223">
        <v>20000</v>
      </c>
      <c r="W425" s="286" t="s">
        <v>3837</v>
      </c>
      <c r="X425" s="223">
        <v>151711</v>
      </c>
      <c r="Y425" s="286" t="s">
        <v>356</v>
      </c>
      <c r="Z425" s="125">
        <v>40000</v>
      </c>
      <c r="AA425" s="125" t="s">
        <v>765</v>
      </c>
      <c r="AB425" s="223">
        <v>600000</v>
      </c>
      <c r="AC425" s="286" t="s">
        <v>5398</v>
      </c>
      <c r="AH425" s="223">
        <f t="shared" si="56"/>
        <v>811711</v>
      </c>
      <c r="AK425" s="171">
        <f t="shared" si="63"/>
        <v>0</v>
      </c>
      <c r="AL425" s="295" t="s">
        <v>5399</v>
      </c>
      <c r="AM425" s="329" t="s">
        <v>5400</v>
      </c>
      <c r="AO425" s="125">
        <f t="shared" si="57"/>
        <v>811711</v>
      </c>
      <c r="AP425" s="166">
        <f>0.6%+0.03%+0.08%</f>
        <v>0.0071</v>
      </c>
      <c r="AQ425" s="283">
        <f t="shared" si="58"/>
        <v>300</v>
      </c>
      <c r="AR425" s="223"/>
      <c r="AS425" s="223"/>
      <c r="AT425" s="223">
        <v>100</v>
      </c>
      <c r="AU425" s="223"/>
      <c r="AV425" s="223">
        <f>100+100</f>
        <v>200</v>
      </c>
      <c r="AW425" s="223"/>
      <c r="AX425" s="223"/>
      <c r="AY425" s="223"/>
      <c r="AZ425" s="223"/>
      <c r="BB425" s="223"/>
      <c r="BO425" s="125">
        <v>811711</v>
      </c>
      <c r="CI425" s="125" t="s">
        <v>260</v>
      </c>
      <c r="CJ425" s="125" t="s">
        <v>271</v>
      </c>
      <c r="CK425" s="125" t="s">
        <v>261</v>
      </c>
    </row>
    <row r="426" s="125" customFormat="1" customHeight="1" spans="1:89">
      <c r="A426" s="174">
        <v>347</v>
      </c>
      <c r="C426" s="168">
        <v>45198</v>
      </c>
      <c r="D426" s="125">
        <v>20230008193</v>
      </c>
      <c r="F426" s="295" t="s">
        <v>5401</v>
      </c>
      <c r="G426" s="125" t="s">
        <v>5402</v>
      </c>
      <c r="H426" s="1037" t="s">
        <v>5403</v>
      </c>
      <c r="I426" s="284" t="s">
        <v>5404</v>
      </c>
      <c r="J426" s="125">
        <v>138.03</v>
      </c>
      <c r="K426" s="125">
        <v>138.03</v>
      </c>
      <c r="L426" s="125">
        <v>5860.01</v>
      </c>
      <c r="M426" s="325">
        <v>808857</v>
      </c>
      <c r="N426" s="223">
        <v>5860.01</v>
      </c>
      <c r="O426" s="165">
        <v>742070.64</v>
      </c>
      <c r="P426" s="295" t="s">
        <v>5405</v>
      </c>
      <c r="Q426" s="210">
        <v>45910</v>
      </c>
      <c r="R426" s="223"/>
      <c r="S426" s="224"/>
      <c r="T426" s="174"/>
      <c r="U426" s="224" t="s">
        <v>561</v>
      </c>
      <c r="V426" s="223">
        <v>20000</v>
      </c>
      <c r="W426" s="224" t="s">
        <v>1624</v>
      </c>
      <c r="X426" s="223">
        <v>50000</v>
      </c>
      <c r="Y426" s="224" t="s">
        <v>2516</v>
      </c>
      <c r="Z426" s="223">
        <v>91857</v>
      </c>
      <c r="AA426" s="224" t="s">
        <v>2869</v>
      </c>
      <c r="AB426" s="223">
        <v>647000</v>
      </c>
      <c r="AC426" s="224" t="s">
        <v>3864</v>
      </c>
      <c r="AH426" s="223">
        <f t="shared" si="56"/>
        <v>808857</v>
      </c>
      <c r="AK426" s="171">
        <f t="shared" ref="AK426:AK441" si="64">M426-AH426</f>
        <v>0</v>
      </c>
      <c r="AL426" s="295" t="s">
        <v>5406</v>
      </c>
      <c r="AM426" s="329"/>
      <c r="AO426" s="125">
        <f t="shared" si="57"/>
        <v>808857</v>
      </c>
      <c r="AP426" s="166">
        <f>0.7%+0.05%+0.12%</f>
        <v>0.0087</v>
      </c>
      <c r="AQ426" s="283">
        <f t="shared" si="58"/>
        <v>0</v>
      </c>
      <c r="AR426" s="223"/>
      <c r="AS426" s="223"/>
      <c r="AT426" s="223"/>
      <c r="AU426" s="223"/>
      <c r="AV426" s="223"/>
      <c r="AW426" s="223"/>
      <c r="AX426" s="223"/>
      <c r="AY426" s="223"/>
      <c r="AZ426" s="223"/>
      <c r="BB426" s="223">
        <v>161857</v>
      </c>
      <c r="BD426" s="125">
        <v>647000</v>
      </c>
      <c r="CI426" s="125" t="s">
        <v>260</v>
      </c>
      <c r="CJ426" s="125" t="s">
        <v>271</v>
      </c>
      <c r="CK426" s="125" t="s">
        <v>261</v>
      </c>
    </row>
    <row r="427" s="125" customFormat="1" customHeight="1" spans="1:89">
      <c r="A427" s="174">
        <v>348</v>
      </c>
      <c r="B427" s="125"/>
      <c r="C427" s="168">
        <v>45599</v>
      </c>
      <c r="D427" s="125">
        <v>20240006415</v>
      </c>
      <c r="F427" s="295" t="s">
        <v>5407</v>
      </c>
      <c r="G427" s="125" t="s">
        <v>5408</v>
      </c>
      <c r="H427" s="1037" t="s">
        <v>5409</v>
      </c>
      <c r="I427" s="284" t="s">
        <v>5410</v>
      </c>
      <c r="J427" s="125">
        <v>147.25</v>
      </c>
      <c r="K427" s="125">
        <v>147.25</v>
      </c>
      <c r="L427" s="125">
        <v>5855.93</v>
      </c>
      <c r="M427" s="325">
        <v>862285</v>
      </c>
      <c r="N427" s="223">
        <v>5848.08</v>
      </c>
      <c r="O427" s="165">
        <v>791087.16</v>
      </c>
      <c r="P427" s="295" t="s">
        <v>5411</v>
      </c>
      <c r="Q427" s="210">
        <v>45847</v>
      </c>
      <c r="R427" s="223"/>
      <c r="S427" s="224"/>
      <c r="T427" s="174"/>
      <c r="U427" s="224" t="s">
        <v>294</v>
      </c>
      <c r="V427" s="223">
        <v>20000</v>
      </c>
      <c r="W427" s="224">
        <v>45542</v>
      </c>
      <c r="X427" s="223">
        <v>104285</v>
      </c>
      <c r="Y427" s="224" t="s">
        <v>2122</v>
      </c>
      <c r="Z427" s="125">
        <v>64000</v>
      </c>
      <c r="AA427" s="125" t="s">
        <v>5412</v>
      </c>
      <c r="AB427" s="223">
        <v>674000</v>
      </c>
      <c r="AC427" s="224" t="s">
        <v>4431</v>
      </c>
      <c r="AH427" s="223">
        <f t="shared" si="56"/>
        <v>862285</v>
      </c>
      <c r="AK427" s="171">
        <f t="shared" si="64"/>
        <v>0</v>
      </c>
      <c r="AL427" s="295" t="s">
        <v>5413</v>
      </c>
      <c r="AM427" s="329" t="s">
        <v>4559</v>
      </c>
      <c r="AO427" s="125">
        <f t="shared" si="57"/>
        <v>862285</v>
      </c>
      <c r="AP427" s="169">
        <f>0.7%+0.1%</f>
        <v>0.008</v>
      </c>
      <c r="AQ427" s="283">
        <f t="shared" si="58"/>
        <v>100</v>
      </c>
      <c r="AR427" s="223"/>
      <c r="AS427" s="223"/>
      <c r="AT427" s="223"/>
      <c r="AU427" s="223">
        <v>100</v>
      </c>
      <c r="AV427" s="223"/>
      <c r="AW427" s="223"/>
      <c r="AX427" s="223"/>
      <c r="AY427" s="223"/>
      <c r="AZ427" s="223"/>
      <c r="BB427" s="223"/>
      <c r="BO427" s="125">
        <v>188285</v>
      </c>
      <c r="BP427" s="125">
        <v>674000</v>
      </c>
      <c r="BQ427" s="125"/>
      <c r="BR427" s="125"/>
      <c r="BS427" s="125"/>
      <c r="BT427" s="125"/>
      <c r="BU427" s="125"/>
      <c r="BV427" s="125"/>
      <c r="CI427" s="125" t="s">
        <v>260</v>
      </c>
      <c r="CK427" s="125" t="s">
        <v>261</v>
      </c>
    </row>
    <row r="428" s="125" customFormat="1" ht="47" customHeight="1" spans="1:89">
      <c r="A428" s="174">
        <v>349</v>
      </c>
      <c r="C428" s="168">
        <v>45165</v>
      </c>
      <c r="D428" s="125">
        <v>20230007324</v>
      </c>
      <c r="F428" s="295" t="s">
        <v>5414</v>
      </c>
      <c r="G428" s="175" t="s">
        <v>5415</v>
      </c>
      <c r="H428" s="1037" t="s">
        <v>5416</v>
      </c>
      <c r="I428" s="284" t="s">
        <v>5417</v>
      </c>
      <c r="J428" s="125">
        <v>138.03</v>
      </c>
      <c r="K428" s="125">
        <v>138.03</v>
      </c>
      <c r="L428" s="125">
        <v>5934.35</v>
      </c>
      <c r="M428" s="325">
        <v>819119</v>
      </c>
      <c r="N428" s="223">
        <v>5934.35</v>
      </c>
      <c r="O428" s="165">
        <v>751485.32</v>
      </c>
      <c r="P428" s="295" t="s">
        <v>5418</v>
      </c>
      <c r="Q428" s="210">
        <v>45908</v>
      </c>
      <c r="R428" s="223"/>
      <c r="S428" s="224"/>
      <c r="T428" s="1039" t="s">
        <v>5419</v>
      </c>
      <c r="U428" s="286" t="s">
        <v>2608</v>
      </c>
      <c r="V428" s="223">
        <f>10000-10000</f>
        <v>0</v>
      </c>
      <c r="W428" s="224" t="s">
        <v>2004</v>
      </c>
      <c r="X428" s="223">
        <v>10000</v>
      </c>
      <c r="Y428" s="336" t="s">
        <v>2508</v>
      </c>
      <c r="Z428" s="125">
        <f>95000+54119</f>
        <v>149119</v>
      </c>
      <c r="AA428" s="125" t="s">
        <v>2290</v>
      </c>
      <c r="AB428" s="223">
        <v>10000</v>
      </c>
      <c r="AC428" s="224" t="s">
        <v>5420</v>
      </c>
      <c r="AD428" s="223">
        <v>3000</v>
      </c>
      <c r="AE428" s="224" t="s">
        <v>2712</v>
      </c>
      <c r="AF428" s="223">
        <v>647000</v>
      </c>
      <c r="AG428" s="224" t="s">
        <v>4978</v>
      </c>
      <c r="AH428" s="223">
        <f t="shared" si="56"/>
        <v>819119</v>
      </c>
      <c r="AK428" s="171">
        <f t="shared" si="64"/>
        <v>0</v>
      </c>
      <c r="AL428" s="295" t="s">
        <v>5421</v>
      </c>
      <c r="AM428" s="329"/>
      <c r="AO428" s="125">
        <f t="shared" si="57"/>
        <v>819119</v>
      </c>
      <c r="AP428" s="166">
        <f>0.7%+0.12%</f>
        <v>0.0082</v>
      </c>
      <c r="AQ428" s="283">
        <f t="shared" si="58"/>
        <v>200</v>
      </c>
      <c r="AR428" s="223"/>
      <c r="AS428" s="223"/>
      <c r="AT428" s="223"/>
      <c r="AU428" s="223"/>
      <c r="AV428" s="223"/>
      <c r="AW428" s="223">
        <v>200</v>
      </c>
      <c r="AX428" s="223"/>
      <c r="AY428" s="223"/>
      <c r="AZ428" s="223">
        <v>169119</v>
      </c>
      <c r="BB428" s="223"/>
      <c r="BF428" s="125">
        <v>650000</v>
      </c>
      <c r="CI428" s="125" t="s">
        <v>260</v>
      </c>
      <c r="CJ428" s="125" t="s">
        <v>271</v>
      </c>
      <c r="CK428" s="125" t="s">
        <v>261</v>
      </c>
    </row>
    <row r="429" s="125" customFormat="1" ht="49" customHeight="1" spans="1:89">
      <c r="A429" s="174">
        <v>350</v>
      </c>
      <c r="C429" s="168">
        <v>45160</v>
      </c>
      <c r="D429" s="125">
        <v>20230007103</v>
      </c>
      <c r="F429" s="295" t="s">
        <v>5422</v>
      </c>
      <c r="G429" s="175" t="s">
        <v>5423</v>
      </c>
      <c r="H429" s="1037" t="s">
        <v>3795</v>
      </c>
      <c r="I429" s="284" t="s">
        <v>5424</v>
      </c>
      <c r="J429" s="125">
        <v>147.25</v>
      </c>
      <c r="K429" s="125">
        <v>147.25</v>
      </c>
      <c r="L429" s="125">
        <v>5919.44</v>
      </c>
      <c r="M429" s="325">
        <v>871637</v>
      </c>
      <c r="N429" s="223">
        <v>5919.43</v>
      </c>
      <c r="O429" s="165">
        <v>799666.97</v>
      </c>
      <c r="P429" s="295" t="s">
        <v>5425</v>
      </c>
      <c r="Q429" s="210">
        <v>45910</v>
      </c>
      <c r="R429" s="223"/>
      <c r="S429" s="224"/>
      <c r="T429" s="1039" t="s">
        <v>5426</v>
      </c>
      <c r="U429" s="286" t="s">
        <v>5427</v>
      </c>
      <c r="V429" s="223">
        <f>10000-10000</f>
        <v>0</v>
      </c>
      <c r="W429" s="224" t="s">
        <v>1969</v>
      </c>
      <c r="X429" s="223">
        <v>10000</v>
      </c>
      <c r="Y429" s="224" t="s">
        <v>1926</v>
      </c>
      <c r="Z429" s="223">
        <v>1637</v>
      </c>
      <c r="AA429" s="224" t="s">
        <v>1782</v>
      </c>
      <c r="AB429" s="223">
        <v>210000</v>
      </c>
      <c r="AC429" s="224" t="s">
        <v>4459</v>
      </c>
      <c r="AD429" s="223">
        <v>650000</v>
      </c>
      <c r="AE429" s="224" t="s">
        <v>827</v>
      </c>
      <c r="AH429" s="223">
        <f t="shared" si="56"/>
        <v>871637</v>
      </c>
      <c r="AK429" s="171">
        <f t="shared" si="64"/>
        <v>0</v>
      </c>
      <c r="AL429" s="295" t="s">
        <v>5428</v>
      </c>
      <c r="AM429" s="329"/>
      <c r="AO429" s="125">
        <f t="shared" si="57"/>
        <v>871637</v>
      </c>
      <c r="AP429" s="166">
        <f>0.7%+0.12%</f>
        <v>0.0082</v>
      </c>
      <c r="AQ429" s="283">
        <f t="shared" si="58"/>
        <v>300</v>
      </c>
      <c r="AR429" s="283">
        <v>100</v>
      </c>
      <c r="AS429" s="223"/>
      <c r="AT429" s="223"/>
      <c r="AU429" s="223"/>
      <c r="AV429" s="223"/>
      <c r="AW429" s="223">
        <v>200</v>
      </c>
      <c r="AX429" s="223"/>
      <c r="AY429" s="223"/>
      <c r="AZ429" s="223"/>
      <c r="BB429" s="223">
        <v>221637</v>
      </c>
      <c r="BC429" s="125">
        <v>650000</v>
      </c>
      <c r="CI429" s="125" t="s">
        <v>260</v>
      </c>
      <c r="CJ429" s="125" t="s">
        <v>271</v>
      </c>
      <c r="CK429" s="125" t="s">
        <v>261</v>
      </c>
    </row>
    <row r="430" s="125" customFormat="1" ht="43" customHeight="1" spans="1:89">
      <c r="A430" s="174">
        <v>351</v>
      </c>
      <c r="C430" s="168">
        <v>45159</v>
      </c>
      <c r="D430" s="125">
        <v>20230007075</v>
      </c>
      <c r="F430" s="295" t="s">
        <v>5429</v>
      </c>
      <c r="G430" s="125" t="s">
        <v>5430</v>
      </c>
      <c r="H430" s="1037" t="s">
        <v>4021</v>
      </c>
      <c r="I430" s="284" t="s">
        <v>5431</v>
      </c>
      <c r="J430" s="125">
        <v>138.03</v>
      </c>
      <c r="K430" s="125">
        <v>138.03</v>
      </c>
      <c r="L430" s="125">
        <v>6003.27</v>
      </c>
      <c r="M430" s="325">
        <v>828632</v>
      </c>
      <c r="N430" s="223">
        <v>6003.27</v>
      </c>
      <c r="O430" s="165">
        <v>760212.84</v>
      </c>
      <c r="P430" s="295" t="s">
        <v>5432</v>
      </c>
      <c r="Q430" s="210">
        <v>45910</v>
      </c>
      <c r="R430" s="223"/>
      <c r="S430" s="224"/>
      <c r="T430" s="174"/>
      <c r="U430" s="224" t="s">
        <v>370</v>
      </c>
      <c r="V430" s="223">
        <v>20000</v>
      </c>
      <c r="W430" s="168" t="s">
        <v>1622</v>
      </c>
      <c r="X430" s="223">
        <f>128632+100000</f>
        <v>228632</v>
      </c>
      <c r="Y430" s="224" t="s">
        <v>1782</v>
      </c>
      <c r="Z430" s="223">
        <v>580000</v>
      </c>
      <c r="AA430" s="224" t="s">
        <v>2291</v>
      </c>
      <c r="AB430" s="223"/>
      <c r="AH430" s="223">
        <f t="shared" si="56"/>
        <v>828632</v>
      </c>
      <c r="AK430" s="171">
        <f t="shared" si="64"/>
        <v>0</v>
      </c>
      <c r="AL430" s="125">
        <v>18999000856</v>
      </c>
      <c r="AM430" s="329"/>
      <c r="AO430" s="125">
        <f t="shared" si="57"/>
        <v>828632</v>
      </c>
      <c r="AP430" s="166">
        <f>0.6%+0.04%+0.12%</f>
        <v>0.0076</v>
      </c>
      <c r="AQ430" s="283">
        <f t="shared" si="58"/>
        <v>0</v>
      </c>
      <c r="AR430" s="223"/>
      <c r="AS430" s="223"/>
      <c r="AT430" s="223"/>
      <c r="AU430" s="223"/>
      <c r="AV430" s="223"/>
      <c r="AW430" s="223"/>
      <c r="AX430" s="223"/>
      <c r="AY430" s="223"/>
      <c r="AZ430" s="223">
        <v>248632</v>
      </c>
      <c r="BB430" s="223"/>
      <c r="BC430" s="125">
        <v>580000</v>
      </c>
      <c r="CI430" s="125" t="s">
        <v>260</v>
      </c>
      <c r="CJ430" s="125" t="s">
        <v>271</v>
      </c>
      <c r="CK430" s="125" t="s">
        <v>261</v>
      </c>
    </row>
    <row r="431" s="125" customFormat="1" ht="43" customHeight="1" spans="1:89">
      <c r="A431" s="174">
        <v>352</v>
      </c>
      <c r="C431" s="168">
        <v>45178</v>
      </c>
      <c r="D431" s="125">
        <v>20230007748</v>
      </c>
      <c r="F431" s="295" t="s">
        <v>5433</v>
      </c>
      <c r="G431" s="125" t="s">
        <v>5434</v>
      </c>
      <c r="H431" s="1037" t="s">
        <v>3994</v>
      </c>
      <c r="I431" s="284" t="s">
        <v>5435</v>
      </c>
      <c r="J431" s="125">
        <v>147.25</v>
      </c>
      <c r="K431" s="125">
        <v>147.25</v>
      </c>
      <c r="L431" s="125">
        <v>5988.35</v>
      </c>
      <c r="M431" s="325">
        <v>881785</v>
      </c>
      <c r="N431" s="223">
        <v>5988.34</v>
      </c>
      <c r="O431" s="165">
        <v>808977.06</v>
      </c>
      <c r="P431" s="295" t="s">
        <v>5436</v>
      </c>
      <c r="Q431" s="210">
        <v>45910</v>
      </c>
      <c r="R431" s="223"/>
      <c r="S431" s="224"/>
      <c r="T431" s="1038" t="s">
        <v>2263</v>
      </c>
      <c r="U431" s="224" t="s">
        <v>267</v>
      </c>
      <c r="V431" s="223">
        <v>10000</v>
      </c>
      <c r="W431" s="224" t="s">
        <v>1241</v>
      </c>
      <c r="X431" s="223">
        <v>1785</v>
      </c>
      <c r="Y431" s="336" t="s">
        <v>2516</v>
      </c>
      <c r="Z431" s="223">
        <v>370000</v>
      </c>
      <c r="AA431" s="224" t="s">
        <v>1994</v>
      </c>
      <c r="AB431" s="223">
        <v>240000</v>
      </c>
      <c r="AC431" s="224" t="s">
        <v>343</v>
      </c>
      <c r="AD431" s="223">
        <v>150000</v>
      </c>
      <c r="AE431" s="224" t="s">
        <v>4376</v>
      </c>
      <c r="AF431" s="125">
        <v>110000</v>
      </c>
      <c r="AG431" s="125" t="s">
        <v>745</v>
      </c>
      <c r="AH431" s="223">
        <f t="shared" si="56"/>
        <v>881785</v>
      </c>
      <c r="AK431" s="171">
        <f t="shared" si="64"/>
        <v>0</v>
      </c>
      <c r="AL431" s="295" t="s">
        <v>5437</v>
      </c>
      <c r="AM431" s="329"/>
      <c r="AO431" s="125">
        <f t="shared" si="57"/>
        <v>881785</v>
      </c>
      <c r="AP431" s="166">
        <f>0.5%+0.12%</f>
        <v>0.0062</v>
      </c>
      <c r="AQ431" s="283">
        <f t="shared" si="58"/>
        <v>300</v>
      </c>
      <c r="AR431" s="223"/>
      <c r="AS431" s="223"/>
      <c r="AT431" s="223"/>
      <c r="AU431" s="223"/>
      <c r="AV431" s="223"/>
      <c r="AW431" s="223">
        <f>100+200</f>
        <v>300</v>
      </c>
      <c r="AX431" s="223"/>
      <c r="AY431" s="223"/>
      <c r="AZ431" s="223"/>
      <c r="BB431" s="223"/>
      <c r="BD431" s="125">
        <v>621785</v>
      </c>
      <c r="BI431" s="125">
        <v>260000</v>
      </c>
      <c r="CI431" s="125" t="s">
        <v>260</v>
      </c>
      <c r="CJ431" s="125" t="s">
        <v>271</v>
      </c>
      <c r="CK431" s="125" t="s">
        <v>261</v>
      </c>
    </row>
    <row r="432" s="125" customFormat="1" ht="56" customHeight="1" spans="1:89">
      <c r="A432" s="174">
        <v>353</v>
      </c>
      <c r="C432" s="168">
        <v>45166</v>
      </c>
      <c r="D432" s="125">
        <v>20230007351</v>
      </c>
      <c r="F432" s="295" t="s">
        <v>5438</v>
      </c>
      <c r="G432" s="175" t="s">
        <v>5439</v>
      </c>
      <c r="I432" s="284" t="s">
        <v>5440</v>
      </c>
      <c r="J432" s="125">
        <v>138.03</v>
      </c>
      <c r="K432" s="125">
        <v>138.03</v>
      </c>
      <c r="L432" s="125">
        <v>5952.18</v>
      </c>
      <c r="M432" s="325">
        <v>821580</v>
      </c>
      <c r="N432" s="223">
        <f>6052.18-100</f>
        <v>5952.18</v>
      </c>
      <c r="O432" s="165">
        <v>753743.12</v>
      </c>
      <c r="P432" s="295" t="s">
        <v>5441</v>
      </c>
      <c r="Q432" s="210">
        <v>45910</v>
      </c>
      <c r="R432" s="223"/>
      <c r="S432" s="224"/>
      <c r="T432" s="1039" t="s">
        <v>5442</v>
      </c>
      <c r="U432" s="286" t="s">
        <v>5443</v>
      </c>
      <c r="V432" s="223">
        <f>10000-10000</f>
        <v>0</v>
      </c>
      <c r="W432" s="224" t="s">
        <v>1969</v>
      </c>
      <c r="X432" s="223">
        <v>20000</v>
      </c>
      <c r="Y432" s="224" t="s">
        <v>2516</v>
      </c>
      <c r="Z432" s="125">
        <v>271580</v>
      </c>
      <c r="AA432" s="125" t="s">
        <v>446</v>
      </c>
      <c r="AB432" s="223">
        <v>530000</v>
      </c>
      <c r="AC432" s="224" t="s">
        <v>4488</v>
      </c>
      <c r="AH432" s="223">
        <f t="shared" si="56"/>
        <v>821580</v>
      </c>
      <c r="AK432" s="171">
        <f t="shared" si="64"/>
        <v>0</v>
      </c>
      <c r="AL432" s="295"/>
      <c r="AM432" s="329"/>
      <c r="AO432" s="125">
        <f t="shared" si="57"/>
        <v>821580</v>
      </c>
      <c r="AP432" s="166">
        <f>0.4%+0.02%+0.12%</f>
        <v>0.0054</v>
      </c>
      <c r="AQ432" s="283">
        <f t="shared" si="58"/>
        <v>100</v>
      </c>
      <c r="AR432" s="283">
        <v>100</v>
      </c>
      <c r="AS432" s="223"/>
      <c r="AT432" s="223"/>
      <c r="AU432" s="223"/>
      <c r="AV432" s="223"/>
      <c r="AW432" s="223"/>
      <c r="AX432" s="223"/>
      <c r="AY432" s="223"/>
      <c r="AZ432" s="223">
        <v>291580</v>
      </c>
      <c r="BB432" s="223"/>
      <c r="BF432" s="125">
        <v>530000</v>
      </c>
      <c r="CI432" s="125" t="s">
        <v>260</v>
      </c>
      <c r="CJ432" s="125" t="s">
        <v>271</v>
      </c>
      <c r="CK432" s="125" t="s">
        <v>261</v>
      </c>
    </row>
    <row r="433" s="125" customFormat="1" ht="55" customHeight="1" spans="1:93">
      <c r="A433" s="174">
        <v>354</v>
      </c>
      <c r="C433" s="168">
        <v>45373</v>
      </c>
      <c r="D433" s="125">
        <v>20240001563</v>
      </c>
      <c r="F433" s="295" t="s">
        <v>5444</v>
      </c>
      <c r="G433" s="175" t="s">
        <v>5445</v>
      </c>
      <c r="H433" s="1037" t="s">
        <v>5446</v>
      </c>
      <c r="I433" s="284" t="s">
        <v>5447</v>
      </c>
      <c r="J433" s="125">
        <v>147.25</v>
      </c>
      <c r="K433" s="125">
        <v>147.25</v>
      </c>
      <c r="L433" s="125">
        <f>M433/K433</f>
        <v>6037.35144312394</v>
      </c>
      <c r="M433" s="325">
        <v>889000</v>
      </c>
      <c r="N433" s="223">
        <v>6037.26</v>
      </c>
      <c r="O433" s="165">
        <v>815596.33</v>
      </c>
      <c r="P433" s="295" t="s">
        <v>5448</v>
      </c>
      <c r="Q433" s="210">
        <v>45910</v>
      </c>
      <c r="R433" s="223"/>
      <c r="S433" s="224"/>
      <c r="T433" s="292" t="s">
        <v>5449</v>
      </c>
      <c r="U433" s="286" t="s">
        <v>5450</v>
      </c>
      <c r="V433" s="223">
        <f>10000-10000</f>
        <v>0</v>
      </c>
      <c r="W433" s="224" t="s">
        <v>1969</v>
      </c>
      <c r="X433" s="223">
        <f>16000-16000</f>
        <v>0</v>
      </c>
      <c r="Y433" s="224" t="s">
        <v>1782</v>
      </c>
      <c r="Z433" s="223">
        <v>20000</v>
      </c>
      <c r="AA433" s="224" t="s">
        <v>2805</v>
      </c>
      <c r="AB433" s="223">
        <v>179000</v>
      </c>
      <c r="AC433" s="125" t="s">
        <v>4089</v>
      </c>
      <c r="AD433" s="223">
        <v>690000</v>
      </c>
      <c r="AE433" s="224" t="s">
        <v>3925</v>
      </c>
      <c r="AH433" s="223">
        <f t="shared" si="56"/>
        <v>889000</v>
      </c>
      <c r="AK433" s="171">
        <f t="shared" si="64"/>
        <v>0</v>
      </c>
      <c r="AL433" s="295" t="s">
        <v>5451</v>
      </c>
      <c r="AM433" s="329"/>
      <c r="AO433" s="125">
        <f t="shared" si="57"/>
        <v>889000</v>
      </c>
      <c r="AP433" s="169">
        <f>0.7%+0.04%+0.12%</f>
        <v>0.0086</v>
      </c>
      <c r="AQ433" s="283">
        <f t="shared" si="58"/>
        <v>300</v>
      </c>
      <c r="AR433" s="283">
        <v>100</v>
      </c>
      <c r="AS433" s="223"/>
      <c r="AT433" s="223"/>
      <c r="AU433" s="223"/>
      <c r="AV433" s="223"/>
      <c r="AW433" s="223">
        <v>200</v>
      </c>
      <c r="AX433" s="223"/>
      <c r="AY433" s="223"/>
      <c r="AZ433" s="223"/>
      <c r="BB433" s="223"/>
      <c r="BG433" s="125">
        <v>199000</v>
      </c>
      <c r="BJ433" s="125">
        <v>690000</v>
      </c>
      <c r="CI433" s="125" t="s">
        <v>260</v>
      </c>
      <c r="CJ433" s="125" t="s">
        <v>271</v>
      </c>
      <c r="CK433" s="125" t="s">
        <v>261</v>
      </c>
      <c r="CN433" s="125">
        <f>CL433-CM433</f>
        <v>0</v>
      </c>
    </row>
    <row r="434" s="125" customFormat="1" ht="59" customHeight="1" spans="1:93">
      <c r="A434" s="174">
        <v>355</v>
      </c>
      <c r="C434" s="168">
        <v>45374</v>
      </c>
      <c r="D434" s="175" t="s">
        <v>5452</v>
      </c>
      <c r="F434" s="295" t="s">
        <v>5453</v>
      </c>
      <c r="G434" s="175" t="s">
        <v>5454</v>
      </c>
      <c r="H434" s="1037" t="s">
        <v>5455</v>
      </c>
      <c r="I434" s="284" t="s">
        <v>5456</v>
      </c>
      <c r="J434" s="125">
        <v>138.03</v>
      </c>
      <c r="K434" s="125">
        <v>138.03</v>
      </c>
      <c r="L434" s="125">
        <v>6079.35</v>
      </c>
      <c r="M434" s="325">
        <v>839133</v>
      </c>
      <c r="N434" s="223">
        <v>6079.35</v>
      </c>
      <c r="O434" s="165">
        <v>769846.79</v>
      </c>
      <c r="P434" s="295" t="s">
        <v>5457</v>
      </c>
      <c r="Q434" s="210">
        <v>45908</v>
      </c>
      <c r="R434" s="223"/>
      <c r="S434" s="224"/>
      <c r="T434" s="1039" t="s">
        <v>5458</v>
      </c>
      <c r="U434" s="286" t="s">
        <v>5459</v>
      </c>
      <c r="V434" s="223">
        <f>10000-10000</f>
        <v>0</v>
      </c>
      <c r="W434" s="224" t="s">
        <v>2924</v>
      </c>
      <c r="X434" s="223">
        <v>10000</v>
      </c>
      <c r="Y434" s="336" t="s">
        <v>5460</v>
      </c>
      <c r="Z434" s="223">
        <v>33133</v>
      </c>
      <c r="AA434" s="224" t="s">
        <v>2508</v>
      </c>
      <c r="AB434" s="223">
        <v>146000</v>
      </c>
      <c r="AC434" s="224" t="s">
        <v>4295</v>
      </c>
      <c r="AD434" s="223">
        <v>650000</v>
      </c>
      <c r="AE434" s="224" t="s">
        <v>556</v>
      </c>
      <c r="AH434" s="223">
        <f t="shared" si="56"/>
        <v>839133</v>
      </c>
      <c r="AK434" s="171">
        <f t="shared" si="64"/>
        <v>0</v>
      </c>
      <c r="AL434" s="295" t="s">
        <v>5461</v>
      </c>
      <c r="AM434" s="329"/>
      <c r="AO434" s="125">
        <f t="shared" si="57"/>
        <v>839133</v>
      </c>
      <c r="AP434" s="166">
        <f>0.7%+0.05%+0.12%</f>
        <v>0.0087</v>
      </c>
      <c r="AQ434" s="283">
        <f t="shared" si="58"/>
        <v>300</v>
      </c>
      <c r="AR434" s="283">
        <v>100</v>
      </c>
      <c r="AS434" s="223"/>
      <c r="AT434" s="223"/>
      <c r="AU434" s="223"/>
      <c r="AV434" s="223"/>
      <c r="AW434" s="223">
        <v>200</v>
      </c>
      <c r="AX434" s="223"/>
      <c r="AY434" s="223"/>
      <c r="AZ434" s="223"/>
      <c r="BB434" s="223"/>
      <c r="BH434" s="125">
        <v>189133</v>
      </c>
      <c r="BI434" s="125">
        <v>650000</v>
      </c>
      <c r="CI434" s="125" t="s">
        <v>260</v>
      </c>
      <c r="CJ434" s="125" t="s">
        <v>271</v>
      </c>
      <c r="CK434" s="125" t="s">
        <v>261</v>
      </c>
    </row>
    <row r="435" s="125" customFormat="1" customHeight="1" spans="1:93">
      <c r="A435" s="174">
        <v>356</v>
      </c>
      <c r="C435" s="168">
        <v>45373</v>
      </c>
      <c r="D435" s="125">
        <v>20240001566</v>
      </c>
      <c r="F435" s="295" t="s">
        <v>5462</v>
      </c>
      <c r="G435" s="125" t="s">
        <v>5463</v>
      </c>
      <c r="I435" s="284" t="s">
        <v>5464</v>
      </c>
      <c r="J435" s="125">
        <v>147.25</v>
      </c>
      <c r="K435" s="125">
        <v>147.25</v>
      </c>
      <c r="L435" s="125">
        <v>6064.43</v>
      </c>
      <c r="M435" s="325">
        <v>892988</v>
      </c>
      <c r="N435" s="223">
        <v>6064.43</v>
      </c>
      <c r="O435" s="165">
        <v>819255.05</v>
      </c>
      <c r="P435" s="295" t="s">
        <v>5465</v>
      </c>
      <c r="Q435" s="210">
        <v>45910</v>
      </c>
      <c r="R435" s="223"/>
      <c r="S435" s="224"/>
      <c r="T435" s="174"/>
      <c r="U435" s="224" t="s">
        <v>284</v>
      </c>
      <c r="V435" s="223">
        <v>194988</v>
      </c>
      <c r="W435" s="224" t="s">
        <v>4089</v>
      </c>
      <c r="X435" s="223">
        <v>698000</v>
      </c>
      <c r="Y435" s="224" t="s">
        <v>704</v>
      </c>
      <c r="AB435" s="223"/>
      <c r="AH435" s="223">
        <f t="shared" si="56"/>
        <v>892988</v>
      </c>
      <c r="AK435" s="171">
        <f t="shared" si="64"/>
        <v>0</v>
      </c>
      <c r="AL435" s="295"/>
      <c r="AM435" s="329"/>
      <c r="AO435" s="125">
        <f t="shared" si="57"/>
        <v>892988</v>
      </c>
      <c r="AP435" s="169">
        <f>0.7%+0.04%+0.12%</f>
        <v>0.0086</v>
      </c>
      <c r="AQ435" s="283">
        <f t="shared" si="58"/>
        <v>300</v>
      </c>
      <c r="AR435" s="283">
        <v>100</v>
      </c>
      <c r="AS435" s="223"/>
      <c r="AT435" s="223"/>
      <c r="AU435" s="223"/>
      <c r="AV435" s="223">
        <v>200</v>
      </c>
      <c r="AW435" s="223"/>
      <c r="AX435" s="223"/>
      <c r="AY435" s="223"/>
      <c r="AZ435" s="223"/>
      <c r="BB435" s="223"/>
      <c r="BG435" s="125">
        <v>194988</v>
      </c>
      <c r="BJ435" s="125">
        <v>698000</v>
      </c>
      <c r="CI435" s="125" t="s">
        <v>260</v>
      </c>
      <c r="CJ435" s="125" t="s">
        <v>271</v>
      </c>
      <c r="CK435" s="125" t="s">
        <v>261</v>
      </c>
      <c r="CN435" s="125">
        <f>CL435-CM435</f>
        <v>0</v>
      </c>
    </row>
    <row r="436" s="125" customFormat="1" ht="45" customHeight="1" spans="1:93">
      <c r="A436" s="174">
        <v>357</v>
      </c>
      <c r="C436" s="168">
        <v>45169</v>
      </c>
      <c r="D436" s="125">
        <v>20230007467</v>
      </c>
      <c r="F436" s="295" t="s">
        <v>5466</v>
      </c>
      <c r="G436" s="125" t="s">
        <v>5467</v>
      </c>
      <c r="H436" s="1037" t="s">
        <v>5468</v>
      </c>
      <c r="I436" s="284" t="s">
        <v>5469</v>
      </c>
      <c r="J436" s="125">
        <v>138.03</v>
      </c>
      <c r="K436" s="125">
        <v>138.03</v>
      </c>
      <c r="L436" s="125">
        <v>6108.27</v>
      </c>
      <c r="M436" s="325">
        <v>843124</v>
      </c>
      <c r="N436" s="223">
        <v>6108.27</v>
      </c>
      <c r="O436" s="165">
        <v>773508.26</v>
      </c>
      <c r="P436" s="295" t="s">
        <v>5470</v>
      </c>
      <c r="Q436" s="210">
        <v>45910</v>
      </c>
      <c r="R436" s="223"/>
      <c r="S436" s="224"/>
      <c r="T436" s="174"/>
      <c r="U436" s="224" t="s">
        <v>370</v>
      </c>
      <c r="V436" s="223">
        <v>10000</v>
      </c>
      <c r="W436" s="224" t="s">
        <v>2508</v>
      </c>
      <c r="X436" s="223">
        <v>10000</v>
      </c>
      <c r="Y436" s="224" t="s">
        <v>2769</v>
      </c>
      <c r="Z436" s="223">
        <v>283124</v>
      </c>
      <c r="AA436" s="224" t="s">
        <v>5315</v>
      </c>
      <c r="AB436" s="223">
        <v>4000</v>
      </c>
      <c r="AC436" s="224" t="s">
        <v>1381</v>
      </c>
      <c r="AD436" s="125">
        <v>236000</v>
      </c>
      <c r="AE436" s="125" t="s">
        <v>1381</v>
      </c>
      <c r="AF436" s="125">
        <v>300000</v>
      </c>
      <c r="AG436" s="125" t="s">
        <v>1500</v>
      </c>
      <c r="AH436" s="223">
        <f t="shared" si="56"/>
        <v>843124</v>
      </c>
      <c r="AK436" s="171">
        <f t="shared" si="64"/>
        <v>0</v>
      </c>
      <c r="AL436" s="295" t="s">
        <v>5471</v>
      </c>
      <c r="AM436" s="329"/>
      <c r="AO436" s="125">
        <f t="shared" si="57"/>
        <v>843124</v>
      </c>
      <c r="AP436" s="166">
        <f>0.6%+0.04%+0.12%</f>
        <v>0.0076</v>
      </c>
      <c r="AQ436" s="283">
        <f t="shared" si="58"/>
        <v>300</v>
      </c>
      <c r="AR436" s="223"/>
      <c r="AS436" s="223"/>
      <c r="AT436" s="223">
        <v>100</v>
      </c>
      <c r="AU436" s="223"/>
      <c r="AV436" s="223"/>
      <c r="AW436" s="223">
        <v>200</v>
      </c>
      <c r="AX436" s="223"/>
      <c r="AY436" s="223"/>
      <c r="AZ436" s="223"/>
      <c r="BB436" s="223"/>
      <c r="BC436" s="125">
        <v>843124</v>
      </c>
      <c r="CI436" s="125" t="s">
        <v>260</v>
      </c>
      <c r="CJ436" s="125" t="s">
        <v>271</v>
      </c>
      <c r="CK436" s="125" t="s">
        <v>261</v>
      </c>
    </row>
    <row r="437" s="125" customFormat="1" ht="46" customHeight="1" spans="1:93">
      <c r="A437" s="174">
        <v>358</v>
      </c>
      <c r="C437" s="168">
        <v>45383</v>
      </c>
      <c r="D437" s="125">
        <v>20240001789</v>
      </c>
      <c r="F437" s="295" t="s">
        <v>5472</v>
      </c>
      <c r="G437" s="175" t="s">
        <v>5473</v>
      </c>
      <c r="H437" s="1037" t="s">
        <v>5474</v>
      </c>
      <c r="I437" s="284" t="s">
        <v>5475</v>
      </c>
      <c r="J437" s="125">
        <v>147.25</v>
      </c>
      <c r="K437" s="125">
        <v>147.25</v>
      </c>
      <c r="L437" s="125">
        <v>6100</v>
      </c>
      <c r="M437" s="325">
        <v>898225</v>
      </c>
      <c r="N437" s="223">
        <v>6093.34</v>
      </c>
      <c r="O437" s="165">
        <v>824059.63</v>
      </c>
      <c r="P437" s="295" t="s">
        <v>5476</v>
      </c>
      <c r="Q437" s="210">
        <v>45910</v>
      </c>
      <c r="R437" s="223"/>
      <c r="S437" s="224"/>
      <c r="T437" s="1039" t="s">
        <v>5477</v>
      </c>
      <c r="U437" s="286" t="s">
        <v>5478</v>
      </c>
      <c r="V437" s="223">
        <f>10000-10000</f>
        <v>0</v>
      </c>
      <c r="W437" s="168" t="s">
        <v>1969</v>
      </c>
      <c r="X437" s="223">
        <f>10000-10000</f>
        <v>0</v>
      </c>
      <c r="Y437" s="224" t="s">
        <v>331</v>
      </c>
      <c r="Z437" s="223">
        <f>10000-10000</f>
        <v>0</v>
      </c>
      <c r="AA437" s="224" t="s">
        <v>2508</v>
      </c>
      <c r="AB437" s="223">
        <v>10000</v>
      </c>
      <c r="AC437" s="224" t="s">
        <v>3995</v>
      </c>
      <c r="AD437" s="223">
        <f>150000+225+60000</f>
        <v>210225</v>
      </c>
      <c r="AE437" s="224" t="s">
        <v>554</v>
      </c>
      <c r="AF437" s="223">
        <v>678000</v>
      </c>
      <c r="AG437" s="224" t="s">
        <v>3676</v>
      </c>
      <c r="AH437" s="223">
        <f t="shared" si="56"/>
        <v>898225</v>
      </c>
      <c r="AK437" s="171">
        <f t="shared" si="64"/>
        <v>0</v>
      </c>
      <c r="AL437" s="295" t="s">
        <v>5479</v>
      </c>
      <c r="AM437" s="329"/>
      <c r="AO437" s="125">
        <f t="shared" si="57"/>
        <v>898225</v>
      </c>
      <c r="AP437" s="169">
        <f>0.5%+0.04%+0.12%</f>
        <v>0.0066</v>
      </c>
      <c r="AQ437" s="283">
        <f t="shared" si="58"/>
        <v>300</v>
      </c>
      <c r="AR437" s="283">
        <v>100</v>
      </c>
      <c r="AS437" s="223"/>
      <c r="AT437" s="223"/>
      <c r="AU437" s="223"/>
      <c r="AV437" s="223"/>
      <c r="AW437" s="223">
        <v>200</v>
      </c>
      <c r="AX437" s="223"/>
      <c r="AY437" s="223"/>
      <c r="AZ437" s="223"/>
      <c r="BB437" s="223"/>
      <c r="BH437" s="125">
        <v>220225</v>
      </c>
      <c r="BJ437" s="125">
        <v>678000</v>
      </c>
      <c r="CI437" s="125" t="s">
        <v>260</v>
      </c>
      <c r="CJ437" s="125" t="s">
        <v>271</v>
      </c>
      <c r="CK437" s="125" t="s">
        <v>261</v>
      </c>
      <c r="CN437" s="125">
        <f>CL437-CM437</f>
        <v>0</v>
      </c>
    </row>
    <row r="438" s="125" customFormat="1" ht="50" customHeight="1" spans="1:93">
      <c r="A438" s="174">
        <v>359</v>
      </c>
      <c r="C438" s="168">
        <v>45164</v>
      </c>
      <c r="D438" s="125">
        <v>20230007286</v>
      </c>
      <c r="F438" s="295" t="s">
        <v>5480</v>
      </c>
      <c r="G438" s="175" t="s">
        <v>5481</v>
      </c>
      <c r="H438" s="1037" t="s">
        <v>3973</v>
      </c>
      <c r="I438" s="284" t="s">
        <v>5482</v>
      </c>
      <c r="J438" s="125">
        <v>138.03</v>
      </c>
      <c r="K438" s="125">
        <v>138.03</v>
      </c>
      <c r="L438" s="125">
        <v>6130.01</v>
      </c>
      <c r="M438" s="325">
        <v>846126</v>
      </c>
      <c r="N438" s="223">
        <v>6130.01</v>
      </c>
      <c r="O438" s="165">
        <v>776262.39</v>
      </c>
      <c r="P438" s="295" t="s">
        <v>5483</v>
      </c>
      <c r="Q438" s="210">
        <v>45910</v>
      </c>
      <c r="R438" s="223"/>
      <c r="S438" s="224"/>
      <c r="T438" s="292" t="s">
        <v>5484</v>
      </c>
      <c r="U438" s="286" t="s">
        <v>5485</v>
      </c>
      <c r="V438" s="223">
        <f>10000-10000</f>
        <v>0</v>
      </c>
      <c r="W438" s="224" t="s">
        <v>341</v>
      </c>
      <c r="X438" s="223">
        <v>20000</v>
      </c>
      <c r="Y438" s="224" t="s">
        <v>1782</v>
      </c>
      <c r="Z438" s="125">
        <f>152126+4000</f>
        <v>156126</v>
      </c>
      <c r="AA438" s="125" t="s">
        <v>2456</v>
      </c>
      <c r="AB438" s="223">
        <v>670000</v>
      </c>
      <c r="AC438" s="224" t="s">
        <v>827</v>
      </c>
      <c r="AH438" s="223">
        <f t="shared" si="56"/>
        <v>846126</v>
      </c>
      <c r="AK438" s="171">
        <f t="shared" si="64"/>
        <v>0</v>
      </c>
      <c r="AL438" s="295" t="s">
        <v>5486</v>
      </c>
      <c r="AM438" s="329"/>
      <c r="AO438" s="125">
        <f t="shared" si="57"/>
        <v>846126</v>
      </c>
      <c r="AP438" s="166">
        <f>0.6%+0.04%+0.12%</f>
        <v>0.0076</v>
      </c>
      <c r="AQ438" s="283">
        <f t="shared" si="58"/>
        <v>100</v>
      </c>
      <c r="AR438" s="223"/>
      <c r="AS438" s="223"/>
      <c r="AT438" s="223"/>
      <c r="AU438" s="223">
        <v>100</v>
      </c>
      <c r="AV438" s="223"/>
      <c r="AW438" s="223"/>
      <c r="AX438" s="223"/>
      <c r="AY438" s="223"/>
      <c r="AZ438" s="223">
        <v>176126</v>
      </c>
      <c r="BB438" s="223"/>
      <c r="BC438" s="125">
        <v>670000</v>
      </c>
      <c r="CI438" s="125" t="s">
        <v>260</v>
      </c>
      <c r="CJ438" s="125" t="s">
        <v>271</v>
      </c>
      <c r="CK438" s="125" t="s">
        <v>261</v>
      </c>
    </row>
    <row r="439" s="125" customFormat="1" ht="43" customHeight="1" spans="1:93">
      <c r="A439" s="174">
        <v>360</v>
      </c>
      <c r="C439" s="168">
        <v>45449</v>
      </c>
      <c r="D439" s="125">
        <v>20240003336</v>
      </c>
      <c r="F439" s="295" t="s">
        <v>5487</v>
      </c>
      <c r="G439" s="175" t="s">
        <v>5488</v>
      </c>
      <c r="H439" s="1037" t="s">
        <v>5489</v>
      </c>
      <c r="I439" s="284" t="s">
        <v>5490</v>
      </c>
      <c r="J439" s="125">
        <v>147.25</v>
      </c>
      <c r="K439" s="125">
        <v>147.25</v>
      </c>
      <c r="L439" s="125">
        <f>M439/K439</f>
        <v>6132.42784380306</v>
      </c>
      <c r="M439" s="325">
        <v>903000</v>
      </c>
      <c r="N439" s="223">
        <v>6115.08</v>
      </c>
      <c r="O439" s="165">
        <v>828440.37</v>
      </c>
      <c r="P439" s="295" t="s">
        <v>5491</v>
      </c>
      <c r="Q439" s="210">
        <v>45910</v>
      </c>
      <c r="R439" s="223"/>
      <c r="S439" s="224"/>
      <c r="T439" s="292" t="s">
        <v>5492</v>
      </c>
      <c r="U439" s="286" t="s">
        <v>3831</v>
      </c>
      <c r="V439" s="223">
        <f>10000-10000</f>
        <v>0</v>
      </c>
      <c r="W439" s="224" t="s">
        <v>1969</v>
      </c>
      <c r="X439" s="223">
        <v>3000</v>
      </c>
      <c r="Y439" s="224" t="s">
        <v>3708</v>
      </c>
      <c r="Z439" s="223">
        <v>450000</v>
      </c>
      <c r="AA439" s="224" t="s">
        <v>3677</v>
      </c>
      <c r="AB439" s="223">
        <v>450000</v>
      </c>
      <c r="AC439" s="224" t="s">
        <v>2998</v>
      </c>
      <c r="AH439" s="223">
        <f t="shared" si="56"/>
        <v>903000</v>
      </c>
      <c r="AK439" s="171">
        <f t="shared" si="64"/>
        <v>0</v>
      </c>
      <c r="AL439" s="295" t="s">
        <v>5493</v>
      </c>
      <c r="AM439" s="329"/>
      <c r="AO439" s="125">
        <f t="shared" si="57"/>
        <v>903000</v>
      </c>
      <c r="AP439" s="166">
        <f>0.4%+0.02%+0.08%</f>
        <v>0.005</v>
      </c>
      <c r="AQ439" s="283">
        <f t="shared" si="58"/>
        <v>100</v>
      </c>
      <c r="AR439" s="283">
        <v>100</v>
      </c>
      <c r="AS439" s="223"/>
      <c r="AT439" s="223"/>
      <c r="AU439" s="223"/>
      <c r="AV439" s="223"/>
      <c r="AW439" s="223"/>
      <c r="AX439" s="223"/>
      <c r="AY439" s="223"/>
      <c r="AZ439" s="223"/>
      <c r="BB439" s="223"/>
      <c r="BJ439" s="125">
        <v>453000</v>
      </c>
      <c r="BK439" s="125">
        <v>450000</v>
      </c>
      <c r="CI439" s="125" t="s">
        <v>260</v>
      </c>
      <c r="CJ439" s="125" t="s">
        <v>271</v>
      </c>
      <c r="CK439" s="125" t="s">
        <v>261</v>
      </c>
    </row>
    <row r="440" s="125" customFormat="1" ht="14.25" spans="1:93">
      <c r="A440" s="174">
        <v>361</v>
      </c>
      <c r="B440" s="125"/>
      <c r="C440" s="168">
        <v>45706</v>
      </c>
      <c r="D440" s="125">
        <v>20250000690</v>
      </c>
      <c r="F440" s="295" t="s">
        <v>5494</v>
      </c>
      <c r="G440" s="125" t="s">
        <v>5495</v>
      </c>
      <c r="H440" s="1037" t="s">
        <v>5496</v>
      </c>
      <c r="I440" s="284" t="s">
        <v>5497</v>
      </c>
      <c r="J440" s="125">
        <v>138.03</v>
      </c>
      <c r="K440" s="125">
        <v>138.03</v>
      </c>
      <c r="L440" s="125">
        <v>6882.56</v>
      </c>
      <c r="M440" s="325">
        <v>950000</v>
      </c>
      <c r="N440" s="223">
        <v>7139.59</v>
      </c>
      <c r="O440" s="165">
        <v>871559.63</v>
      </c>
      <c r="P440" s="295" t="s">
        <v>5498</v>
      </c>
      <c r="Q440" s="210">
        <v>45910</v>
      </c>
      <c r="R440" s="223"/>
      <c r="S440" s="224"/>
      <c r="T440" s="174"/>
      <c r="U440" s="224" t="s">
        <v>294</v>
      </c>
      <c r="V440" s="223">
        <v>10000</v>
      </c>
      <c r="W440" s="224" t="s">
        <v>392</v>
      </c>
      <c r="X440" s="223">
        <v>10000</v>
      </c>
      <c r="Y440" s="224" t="s">
        <v>927</v>
      </c>
      <c r="Z440" s="125">
        <f>356000+15000+9000</f>
        <v>380000</v>
      </c>
      <c r="AA440" s="125" t="s">
        <v>3326</v>
      </c>
      <c r="AB440" s="223">
        <v>550000</v>
      </c>
      <c r="AC440" s="224" t="s">
        <v>2676</v>
      </c>
      <c r="AH440" s="223">
        <f t="shared" si="56"/>
        <v>950000</v>
      </c>
      <c r="AK440" s="171">
        <f t="shared" si="64"/>
        <v>0</v>
      </c>
      <c r="AL440" s="295" t="s">
        <v>5499</v>
      </c>
      <c r="AM440" s="329" t="s">
        <v>3467</v>
      </c>
      <c r="AO440" s="125">
        <f t="shared" si="57"/>
        <v>950000</v>
      </c>
      <c r="AP440" s="169">
        <f>0.6%+0.08%+0.03%</f>
        <v>0.0071</v>
      </c>
      <c r="AQ440" s="283">
        <f t="shared" si="58"/>
        <v>100</v>
      </c>
      <c r="AR440" s="223"/>
      <c r="AS440" s="223"/>
      <c r="AT440" s="223"/>
      <c r="AU440" s="223">
        <v>100</v>
      </c>
      <c r="AV440" s="223"/>
      <c r="AW440" s="223"/>
      <c r="AX440" s="223"/>
      <c r="AY440" s="223"/>
      <c r="AZ440" s="223"/>
      <c r="BB440" s="223"/>
      <c r="BR440" s="125">
        <v>400000</v>
      </c>
      <c r="BS440" s="125">
        <v>550000</v>
      </c>
      <c r="CI440" s="125" t="s">
        <v>260</v>
      </c>
      <c r="CK440" s="125" t="s">
        <v>261</v>
      </c>
    </row>
    <row r="441" s="125" customFormat="1" ht="14.25" spans="1:93">
      <c r="A441" s="174">
        <v>362</v>
      </c>
      <c r="C441" s="168">
        <v>45570</v>
      </c>
      <c r="D441" s="125">
        <v>20240005902</v>
      </c>
      <c r="F441" s="295" t="s">
        <v>5500</v>
      </c>
      <c r="G441" s="125" t="s">
        <v>5501</v>
      </c>
      <c r="H441" s="1037" t="s">
        <v>5502</v>
      </c>
      <c r="I441" s="284" t="s">
        <v>5503</v>
      </c>
      <c r="J441" s="125">
        <v>147.25</v>
      </c>
      <c r="K441" s="125">
        <v>147.25</v>
      </c>
      <c r="L441" s="125">
        <v>7164</v>
      </c>
      <c r="M441" s="325">
        <f>K441*L441</f>
        <v>1054899</v>
      </c>
      <c r="N441" s="223">
        <v>7155.59</v>
      </c>
      <c r="O441" s="165">
        <v>967797.25</v>
      </c>
      <c r="P441" s="295" t="s">
        <v>5504</v>
      </c>
      <c r="Q441" s="210">
        <v>45910</v>
      </c>
      <c r="R441" s="223"/>
      <c r="S441" s="224"/>
      <c r="T441" s="174"/>
      <c r="U441" s="224" t="s">
        <v>2160</v>
      </c>
      <c r="V441" s="223">
        <v>20000</v>
      </c>
      <c r="W441" s="224" t="s">
        <v>1881</v>
      </c>
      <c r="X441" s="223">
        <v>100000</v>
      </c>
      <c r="Y441" s="224" t="s">
        <v>297</v>
      </c>
      <c r="Z441" s="223">
        <v>91899</v>
      </c>
      <c r="AA441" s="224" t="s">
        <v>400</v>
      </c>
      <c r="AB441" s="223">
        <v>843000</v>
      </c>
      <c r="AC441" s="224" t="s">
        <v>3087</v>
      </c>
      <c r="AH441" s="223">
        <f t="shared" si="56"/>
        <v>1054899</v>
      </c>
      <c r="AK441" s="171">
        <f t="shared" si="64"/>
        <v>0</v>
      </c>
      <c r="AL441" s="295" t="s">
        <v>5505</v>
      </c>
      <c r="AM441" s="329"/>
      <c r="AO441" s="125">
        <f t="shared" si="57"/>
        <v>1054899</v>
      </c>
      <c r="AP441" s="166">
        <f>0.6%+0.03%+0.14%</f>
        <v>0.0077</v>
      </c>
      <c r="AQ441" s="283">
        <f t="shared" si="58"/>
        <v>0</v>
      </c>
      <c r="AR441" s="223"/>
      <c r="AS441" s="223"/>
      <c r="AT441" s="223"/>
      <c r="AU441" s="223"/>
      <c r="AV441" s="223"/>
      <c r="AW441" s="223"/>
      <c r="AX441" s="223"/>
      <c r="AY441" s="223"/>
      <c r="AZ441" s="223"/>
      <c r="BB441" s="223"/>
      <c r="BN441" s="125">
        <v>211899</v>
      </c>
      <c r="BS441" s="125">
        <v>843000</v>
      </c>
      <c r="CI441" s="125" t="s">
        <v>260</v>
      </c>
      <c r="CK441" s="125" t="s">
        <v>261</v>
      </c>
    </row>
    <row r="442" s="193" customFormat="1" ht="14.25" spans="1:93">
      <c r="A442" s="367" t="s">
        <v>68</v>
      </c>
      <c r="B442" s="193">
        <f>SUM(B4:B441)</f>
        <v>0</v>
      </c>
      <c r="I442" s="368"/>
      <c r="J442" s="369">
        <f t="shared" ref="J442:O442" si="65">SUM(J4:J441)</f>
        <v>48346.4099999999</v>
      </c>
      <c r="K442" s="369">
        <f t="shared" si="65"/>
        <v>41277.07</v>
      </c>
      <c r="L442" s="369"/>
      <c r="M442" s="370">
        <f>SUM(M4:M441)</f>
        <v>239411329</v>
      </c>
      <c r="N442" s="371"/>
      <c r="O442" s="370">
        <f t="shared" si="65"/>
        <v>215996066.64</v>
      </c>
      <c r="P442" s="369"/>
      <c r="Q442" s="372"/>
      <c r="R442" s="150">
        <f>SUM(R4:R441)</f>
        <v>1210000</v>
      </c>
      <c r="S442" s="373"/>
      <c r="T442" s="367"/>
      <c r="U442" s="373"/>
      <c r="V442" s="150">
        <f>SUM(V4:V441)</f>
        <v>16947061.27</v>
      </c>
      <c r="W442" s="369"/>
      <c r="X442" s="150">
        <f>SUM(X4:X441)</f>
        <v>51579383</v>
      </c>
      <c r="Y442" s="150"/>
      <c r="Z442" s="150">
        <f>SUM(Z4:Z441)</f>
        <v>77549233</v>
      </c>
      <c r="AA442" s="369"/>
      <c r="AB442" s="150">
        <f>SUM(AB4:AB441)</f>
        <v>57610215.73</v>
      </c>
      <c r="AC442" s="150"/>
      <c r="AD442" s="150">
        <f>SUM(AD4:AD441)</f>
        <v>21245069</v>
      </c>
      <c r="AE442" s="150"/>
      <c r="AF442" s="150">
        <f>SUM(AF4:AF441)</f>
        <v>12733046</v>
      </c>
      <c r="AG442" s="150"/>
      <c r="AH442" s="150">
        <f>SUM(AH4:AH441)</f>
        <v>237664008</v>
      </c>
      <c r="AI442" s="369">
        <f>SUM(AI4:AI441)</f>
        <v>0</v>
      </c>
      <c r="AJ442" s="369">
        <f>SUM(AJ4:AJ441)</f>
        <v>0</v>
      </c>
      <c r="AK442" s="150">
        <f>SUM(AK4:AK441)</f>
        <v>1747321</v>
      </c>
      <c r="AL442" s="369"/>
      <c r="AM442" s="374"/>
      <c r="AN442" s="369"/>
      <c r="AO442" s="150">
        <f>SUM(AO4:AO441)</f>
        <v>223807639</v>
      </c>
      <c r="AP442" s="150"/>
      <c r="AQ442" s="150">
        <f t="shared" ref="AP442:BW442" si="66">SUM(AQ4:AQ441)</f>
        <v>18500</v>
      </c>
      <c r="AR442" s="150">
        <f t="shared" si="66"/>
        <v>2100</v>
      </c>
      <c r="AS442" s="150">
        <f t="shared" si="66"/>
        <v>1300</v>
      </c>
      <c r="AT442" s="150">
        <f t="shared" si="66"/>
        <v>2300</v>
      </c>
      <c r="AU442" s="150">
        <f t="shared" si="66"/>
        <v>1000</v>
      </c>
      <c r="AV442" s="150">
        <f t="shared" si="66"/>
        <v>4200</v>
      </c>
      <c r="AW442" s="150">
        <f t="shared" si="66"/>
        <v>5200</v>
      </c>
      <c r="AX442" s="150">
        <f t="shared" si="66"/>
        <v>2200</v>
      </c>
      <c r="AY442" s="150">
        <f t="shared" si="66"/>
        <v>200</v>
      </c>
      <c r="AZ442" s="150">
        <f t="shared" si="66"/>
        <v>3758483</v>
      </c>
      <c r="BA442" s="150">
        <f t="shared" si="66"/>
        <v>773388</v>
      </c>
      <c r="BB442" s="150">
        <f t="shared" si="66"/>
        <v>9516785</v>
      </c>
      <c r="BC442" s="150">
        <f t="shared" si="66"/>
        <v>18339412</v>
      </c>
      <c r="BD442" s="150">
        <f t="shared" si="66"/>
        <v>12008088</v>
      </c>
      <c r="BE442" s="150">
        <f t="shared" si="66"/>
        <v>13246008</v>
      </c>
      <c r="BF442" s="150">
        <f t="shared" si="66"/>
        <v>7592677</v>
      </c>
      <c r="BG442" s="150">
        <f t="shared" si="66"/>
        <v>23180507</v>
      </c>
      <c r="BH442" s="150">
        <f t="shared" si="66"/>
        <v>18611850</v>
      </c>
      <c r="BI442" s="150">
        <f t="shared" si="66"/>
        <v>13112872</v>
      </c>
      <c r="BJ442" s="150">
        <f t="shared" si="66"/>
        <v>10638643</v>
      </c>
      <c r="BK442" s="150">
        <f t="shared" si="66"/>
        <v>6570493</v>
      </c>
      <c r="BL442" s="150">
        <f t="shared" si="66"/>
        <v>7859000</v>
      </c>
      <c r="BM442" s="150">
        <f t="shared" si="66"/>
        <v>6178659</v>
      </c>
      <c r="BN442" s="150">
        <f t="shared" si="66"/>
        <v>6515819</v>
      </c>
      <c r="BO442" s="150">
        <f t="shared" si="66"/>
        <v>12502469</v>
      </c>
      <c r="BP442" s="150">
        <f t="shared" si="66"/>
        <v>5492687</v>
      </c>
      <c r="BQ442" s="150">
        <f t="shared" si="66"/>
        <v>4271049</v>
      </c>
      <c r="BR442" s="150">
        <f t="shared" si="66"/>
        <v>6087100</v>
      </c>
      <c r="BS442" s="150">
        <f t="shared" si="66"/>
        <v>9883571</v>
      </c>
      <c r="BT442" s="150">
        <f t="shared" si="66"/>
        <v>5413511</v>
      </c>
      <c r="BU442" s="150">
        <f t="shared" si="66"/>
        <v>5729381</v>
      </c>
      <c r="BV442" s="150">
        <f t="shared" si="66"/>
        <v>4002837</v>
      </c>
      <c r="BW442" s="150">
        <f t="shared" si="66"/>
        <v>3035430</v>
      </c>
      <c r="BX442" s="150"/>
      <c r="BY442" s="150"/>
      <c r="BZ442" s="150"/>
      <c r="CA442" s="150"/>
      <c r="CB442" s="150"/>
      <c r="CC442" s="150"/>
      <c r="CD442" s="150"/>
      <c r="CE442" s="150"/>
      <c r="CF442" s="150"/>
      <c r="CG442" s="150">
        <f>SUM(CG4:CG441)</f>
        <v>0</v>
      </c>
      <c r="CH442" s="150"/>
      <c r="CI442" s="150"/>
      <c r="CJ442" s="150"/>
      <c r="CK442" s="150">
        <f t="shared" ref="CK442:CO442" si="67">SUM(CK4:CK441)</f>
        <v>0</v>
      </c>
      <c r="CL442" s="371">
        <f t="shared" si="67"/>
        <v>0</v>
      </c>
      <c r="CM442" s="371"/>
      <c r="CN442" s="371"/>
      <c r="CO442" s="371">
        <f t="shared" si="67"/>
        <v>0</v>
      </c>
    </row>
    <row r="443" s="101" customFormat="1" ht="14.25" spans="1:93">
      <c r="A443" s="238"/>
      <c r="M443" s="239">
        <v>225343020</v>
      </c>
      <c r="N443" s="242"/>
      <c r="O443" s="157"/>
      <c r="Q443" s="241" t="s">
        <v>3171</v>
      </c>
      <c r="R443" s="242">
        <v>1210000</v>
      </c>
      <c r="S443" s="375"/>
      <c r="T443" s="375"/>
      <c r="U443" s="243"/>
      <c r="V443" s="242"/>
      <c r="X443" s="242"/>
      <c r="AB443" s="242"/>
      <c r="AH443" s="242"/>
      <c r="AK443" s="205"/>
      <c r="AM443" s="244"/>
      <c r="AP443" s="376"/>
      <c r="AQ443" s="242"/>
      <c r="AR443" s="242"/>
      <c r="AS443" s="242"/>
      <c r="AT443" s="242"/>
      <c r="AU443" s="242"/>
      <c r="AV443" s="242"/>
      <c r="AW443" s="242"/>
      <c r="AX443" s="242"/>
      <c r="AY443" s="242"/>
      <c r="AZ443" s="242"/>
      <c r="BB443" s="242"/>
      <c r="BR443" s="101">
        <f>BR442+'画堂春锦苑8#楼明细表'!AZ91+'画堂春锦苑住宅4#6#'!AV168</f>
        <v>9137591</v>
      </c>
    </row>
    <row r="444" s="101" customFormat="1" ht="14.25" spans="1:93">
      <c r="A444" s="238"/>
      <c r="M444" s="239"/>
      <c r="N444" s="242"/>
      <c r="O444" s="157"/>
      <c r="Q444" s="241" t="s">
        <v>94</v>
      </c>
      <c r="R444" s="242"/>
      <c r="S444" s="377"/>
      <c r="T444" s="378"/>
      <c r="U444" s="243"/>
      <c r="V444" s="242"/>
      <c r="X444" s="242"/>
      <c r="AB444" s="242"/>
      <c r="AH444" s="242"/>
      <c r="AK444" s="205"/>
      <c r="AM444" s="244"/>
      <c r="AP444" s="376"/>
      <c r="AQ444" s="242"/>
      <c r="AR444" s="242"/>
      <c r="AS444" s="242"/>
      <c r="AT444" s="242"/>
      <c r="AU444" s="242"/>
      <c r="AV444" s="242"/>
      <c r="AW444" s="242"/>
      <c r="AX444" s="242"/>
      <c r="AY444" s="242"/>
      <c r="AZ444" s="242"/>
      <c r="BB444" s="242"/>
    </row>
    <row r="445" s="101" customFormat="1" ht="14.25" spans="1:93">
      <c r="A445" s="238"/>
      <c r="D445" s="379" t="s">
        <v>3173</v>
      </c>
      <c r="E445" s="379" t="s">
        <v>3174</v>
      </c>
      <c r="F445" s="379"/>
      <c r="H445" s="379"/>
      <c r="M445" s="239"/>
      <c r="N445" s="242"/>
      <c r="O445" s="157"/>
      <c r="Q445" s="241" t="s">
        <v>72</v>
      </c>
      <c r="R445" s="315"/>
      <c r="S445" s="297"/>
      <c r="T445" s="238"/>
      <c r="U445" s="243"/>
      <c r="V445" s="242"/>
      <c r="X445" s="242"/>
      <c r="AB445" s="242"/>
      <c r="AH445" s="242"/>
      <c r="AK445" s="205"/>
      <c r="AM445" s="244"/>
      <c r="AP445" s="376"/>
      <c r="AQ445" s="242"/>
      <c r="AR445" s="242"/>
      <c r="AS445" s="242"/>
      <c r="AT445" s="242"/>
      <c r="AU445" s="242"/>
      <c r="AV445" s="242"/>
      <c r="AW445" s="242"/>
      <c r="AX445" s="242"/>
      <c r="AY445" s="242"/>
      <c r="AZ445" s="242"/>
      <c r="BB445" s="242"/>
    </row>
    <row r="446" s="101" customFormat="1" ht="14.25" spans="1:93">
      <c r="A446" s="238"/>
      <c r="C446" s="244"/>
      <c r="D446" s="379"/>
      <c r="E446" s="380" t="s">
        <v>3176</v>
      </c>
      <c r="F446" s="379" t="s">
        <v>3177</v>
      </c>
      <c r="G446" s="101" t="s">
        <v>3178</v>
      </c>
      <c r="H446" s="379" t="s">
        <v>3179</v>
      </c>
      <c r="M446" s="239"/>
      <c r="N446" s="242"/>
      <c r="O446" s="157"/>
      <c r="Q446" s="241" t="s">
        <v>5506</v>
      </c>
      <c r="R446" s="242"/>
      <c r="S446" s="243"/>
      <c r="T446" s="238"/>
      <c r="U446" s="243"/>
      <c r="V446" s="242"/>
      <c r="X446" s="242"/>
      <c r="AB446" s="242"/>
      <c r="AH446" s="242"/>
      <c r="AK446" s="205"/>
      <c r="AM446" s="244"/>
      <c r="AP446" s="376"/>
      <c r="AQ446" s="242"/>
      <c r="AR446" s="242"/>
      <c r="AS446" s="242"/>
      <c r="AT446" s="242"/>
      <c r="AU446" s="242"/>
      <c r="AV446" s="242"/>
      <c r="AW446" s="242"/>
      <c r="AX446" s="242"/>
      <c r="AY446" s="242"/>
      <c r="AZ446" s="242"/>
      <c r="BB446" s="242"/>
    </row>
    <row r="447" s="101" customFormat="1" ht="14.25" spans="1:93">
      <c r="A447" s="238"/>
      <c r="C447" s="244"/>
      <c r="D447" s="379"/>
      <c r="E447" s="380"/>
      <c r="F447" s="379"/>
      <c r="H447" s="379"/>
      <c r="M447" s="239"/>
      <c r="N447" s="242"/>
      <c r="O447" s="157"/>
      <c r="Q447" s="241" t="s">
        <v>9</v>
      </c>
      <c r="R447" s="242"/>
      <c r="S447" s="243"/>
      <c r="T447" s="238"/>
      <c r="U447" s="243"/>
      <c r="V447" s="242"/>
      <c r="X447" s="242"/>
      <c r="AB447" s="242"/>
      <c r="AH447" s="242"/>
      <c r="AK447" s="205"/>
      <c r="AM447" s="244"/>
      <c r="AP447" s="376"/>
      <c r="AQ447" s="242"/>
      <c r="AR447" s="242"/>
      <c r="AS447" s="242"/>
      <c r="AT447" s="242"/>
      <c r="AU447" s="242"/>
      <c r="AV447" s="242"/>
      <c r="AW447" s="242"/>
      <c r="AX447" s="242"/>
      <c r="AY447" s="242"/>
      <c r="AZ447" s="242"/>
      <c r="BB447" s="242"/>
    </row>
    <row r="448" s="101" customFormat="1" ht="14.25" spans="1:93">
      <c r="A448" s="238"/>
      <c r="M448" s="239"/>
      <c r="N448" s="242"/>
      <c r="O448" s="157"/>
      <c r="Q448" s="241" t="s">
        <v>72</v>
      </c>
      <c r="R448" s="242"/>
      <c r="S448" s="381"/>
      <c r="T448" s="382"/>
      <c r="U448" s="381"/>
      <c r="V448" s="242"/>
      <c r="X448" s="242"/>
      <c r="AB448" s="242"/>
      <c r="AH448" s="242"/>
      <c r="AK448" s="205"/>
      <c r="AM448" s="244"/>
      <c r="AP448" s="376"/>
      <c r="AQ448" s="242"/>
      <c r="AR448" s="242"/>
      <c r="AS448" s="242"/>
      <c r="AT448" s="242"/>
      <c r="AU448" s="242"/>
      <c r="AV448" s="242"/>
      <c r="AW448" s="242"/>
      <c r="AX448" s="242"/>
      <c r="AY448" s="242"/>
      <c r="AZ448" s="242"/>
      <c r="BB448" s="242"/>
    </row>
    <row r="449" s="101" customFormat="1" ht="14.25" spans="1:85">
      <c r="A449" s="238"/>
      <c r="M449" s="239"/>
      <c r="N449" s="240"/>
      <c r="O449" s="157"/>
      <c r="Q449" s="241"/>
      <c r="R449" s="242"/>
      <c r="T449" s="238"/>
      <c r="U449" s="243"/>
      <c r="V449" s="242"/>
      <c r="X449" s="242"/>
      <c r="AB449" s="242"/>
      <c r="AH449" s="242"/>
      <c r="AK449" s="205"/>
      <c r="AM449" s="244"/>
      <c r="AP449" s="376"/>
      <c r="AQ449" s="242"/>
      <c r="AR449" s="242"/>
      <c r="AS449" s="242"/>
      <c r="AT449" s="242"/>
      <c r="AU449" s="242"/>
      <c r="AV449" s="242"/>
      <c r="AW449" s="242"/>
      <c r="AX449" s="242"/>
      <c r="AY449" s="242"/>
      <c r="AZ449" s="242"/>
      <c r="BB449" s="242"/>
      <c r="BL449" s="101">
        <f>BL442+'[2]8#楼明细表'!AT71</f>
        <v>11646691</v>
      </c>
    </row>
    <row r="450" s="101" customFormat="1" ht="14.25" spans="1:85">
      <c r="A450" s="238"/>
      <c r="M450" s="239"/>
      <c r="N450" s="240"/>
      <c r="O450" s="157"/>
      <c r="Q450" s="241"/>
      <c r="R450" s="242"/>
      <c r="S450" s="243"/>
      <c r="T450" s="238"/>
      <c r="U450" s="243"/>
      <c r="V450" s="242"/>
      <c r="X450" s="242"/>
      <c r="AB450" s="242"/>
      <c r="AH450" s="242"/>
      <c r="AK450" s="205"/>
      <c r="AM450" s="244"/>
      <c r="AP450" s="376"/>
      <c r="AQ450" s="242"/>
      <c r="AR450" s="242"/>
      <c r="AS450" s="242"/>
      <c r="AT450" s="242"/>
      <c r="AU450" s="242"/>
      <c r="AV450" s="242"/>
      <c r="AW450" s="242"/>
      <c r="AX450" s="242"/>
      <c r="AY450" s="242"/>
      <c r="AZ450" s="242"/>
      <c r="BB450" s="242"/>
      <c r="BU450" s="101">
        <f>BU442+'画堂春锦苑8#楼明细表'!BC91+'画堂春锦苑住宅4#6#'!AY168</f>
        <v>11560820</v>
      </c>
    </row>
    <row r="451" s="101" customFormat="1" ht="14.25" spans="1:85">
      <c r="A451" s="238"/>
      <c r="M451" s="239"/>
      <c r="N451" s="240"/>
      <c r="O451" s="157"/>
      <c r="Q451" s="241"/>
      <c r="R451" s="101"/>
      <c r="S451" s="243"/>
      <c r="T451" s="238"/>
      <c r="U451" s="243"/>
      <c r="V451" s="242"/>
      <c r="X451" s="242"/>
      <c r="AB451" s="242"/>
      <c r="AH451" s="242"/>
      <c r="AK451" s="205"/>
      <c r="AM451" s="244"/>
      <c r="AP451" s="376"/>
      <c r="AQ451" s="242"/>
      <c r="AR451" s="242"/>
      <c r="AS451" s="242"/>
      <c r="AT451" s="242"/>
      <c r="AU451" s="242"/>
      <c r="AV451" s="242"/>
      <c r="AW451" s="242"/>
      <c r="AX451" s="242"/>
      <c r="AY451" s="242"/>
      <c r="AZ451" s="242"/>
      <c r="BB451" s="242"/>
    </row>
    <row r="452" s="101" customFormat="1" ht="14.25" spans="1:85">
      <c r="A452" s="238"/>
      <c r="M452" s="239"/>
      <c r="N452" s="240"/>
      <c r="O452" s="157"/>
      <c r="Q452" s="241"/>
      <c r="R452" s="101"/>
      <c r="S452" s="243"/>
      <c r="T452" s="238"/>
      <c r="U452" s="243"/>
      <c r="V452" s="242"/>
      <c r="X452" s="242"/>
      <c r="AB452" s="242"/>
      <c r="AH452" s="242"/>
      <c r="AK452" s="205"/>
      <c r="AM452" s="244"/>
      <c r="AP452" s="376"/>
      <c r="AQ452" s="242"/>
      <c r="AR452" s="242"/>
      <c r="AS452" s="242"/>
      <c r="AT452" s="242"/>
      <c r="AU452" s="242"/>
      <c r="AV452" s="242"/>
      <c r="AW452" s="242"/>
      <c r="AX452" s="242"/>
      <c r="AY452" s="242"/>
      <c r="AZ452" s="242"/>
      <c r="BB452" s="242"/>
    </row>
    <row r="453" s="101" customFormat="1" ht="14.25" spans="1:85">
      <c r="A453" s="238"/>
      <c r="M453" s="239"/>
      <c r="N453" s="240"/>
      <c r="O453" s="157"/>
      <c r="Q453" s="241"/>
      <c r="S453" s="243"/>
      <c r="T453" s="238"/>
      <c r="U453" s="243"/>
      <c r="V453" s="242"/>
      <c r="X453" s="242"/>
      <c r="AB453" s="242"/>
      <c r="AH453" s="242"/>
      <c r="AK453" s="205"/>
      <c r="AM453" s="244"/>
      <c r="AP453" s="376"/>
      <c r="AQ453" s="242"/>
      <c r="AR453" s="242"/>
      <c r="AS453" s="242"/>
      <c r="AT453" s="242"/>
      <c r="AU453" s="242"/>
      <c r="AV453" s="242"/>
      <c r="AW453" s="242"/>
      <c r="AX453" s="242"/>
      <c r="AY453" s="242"/>
      <c r="AZ453" s="242"/>
      <c r="BB453" s="242"/>
      <c r="CF453" s="101" t="s">
        <v>155</v>
      </c>
      <c r="CG453" s="101">
        <f>CG5+CG392</f>
        <v>0</v>
      </c>
    </row>
    <row r="454" s="101" customFormat="1" ht="14.25" spans="1:85">
      <c r="A454" s="238"/>
      <c r="M454" s="239"/>
      <c r="N454" s="240"/>
      <c r="O454" s="157"/>
      <c r="Q454" s="241"/>
      <c r="R454" s="242"/>
      <c r="S454" s="243"/>
      <c r="T454" s="238"/>
      <c r="U454" s="243"/>
      <c r="V454" s="242"/>
      <c r="X454" s="242"/>
      <c r="AB454" s="242"/>
      <c r="AH454" s="242"/>
      <c r="AK454" s="205"/>
      <c r="AM454" s="244"/>
      <c r="AP454" s="376"/>
      <c r="AQ454" s="242"/>
      <c r="AR454" s="242"/>
      <c r="AS454" s="242"/>
      <c r="AT454" s="242"/>
      <c r="AU454" s="242"/>
      <c r="AV454" s="242"/>
      <c r="AW454" s="242"/>
      <c r="AX454" s="242"/>
      <c r="AY454" s="242"/>
      <c r="AZ454" s="242"/>
      <c r="BB454" s="242"/>
      <c r="CF454" s="101" t="s">
        <v>3176</v>
      </c>
      <c r="CG454" s="101">
        <f>CG73+CG74</f>
        <v>0</v>
      </c>
    </row>
    <row r="455" s="101" customFormat="1" ht="14.25" spans="1:85">
      <c r="A455" s="238"/>
      <c r="M455" s="239"/>
      <c r="N455" s="240"/>
      <c r="O455" s="157"/>
      <c r="Q455" s="241"/>
      <c r="R455" s="242"/>
      <c r="S455" s="243"/>
      <c r="T455" s="238"/>
      <c r="U455" s="243"/>
      <c r="V455" s="242"/>
      <c r="X455" s="242"/>
      <c r="AB455" s="242"/>
      <c r="AH455" s="242"/>
      <c r="AK455" s="205"/>
      <c r="AM455" s="244"/>
      <c r="AP455" s="376"/>
      <c r="AQ455" s="242"/>
      <c r="AR455" s="242"/>
      <c r="AS455" s="242"/>
      <c r="AT455" s="242"/>
      <c r="AU455" s="242"/>
      <c r="AV455" s="242"/>
      <c r="AW455" s="242"/>
      <c r="AX455" s="242"/>
      <c r="AY455" s="242"/>
      <c r="AZ455" s="242"/>
      <c r="BB455" s="242"/>
    </row>
    <row r="456" s="101" customFormat="1" customHeight="1" spans="1:85">
      <c r="A456" s="238"/>
      <c r="M456" s="239"/>
      <c r="N456" s="240"/>
      <c r="O456" s="157"/>
      <c r="Q456" s="241"/>
      <c r="R456" s="242"/>
      <c r="S456" s="243"/>
      <c r="T456" s="238"/>
      <c r="U456" s="243"/>
      <c r="V456" s="242"/>
      <c r="X456" s="242"/>
      <c r="AB456" s="242"/>
      <c r="AH456" s="242"/>
      <c r="AK456" s="205"/>
      <c r="AM456" s="244"/>
      <c r="AP456" s="376"/>
      <c r="AQ456" s="242"/>
      <c r="AR456" s="242"/>
      <c r="AS456" s="242"/>
      <c r="AT456" s="242"/>
      <c r="AU456" s="242"/>
      <c r="AV456" s="242"/>
      <c r="AW456" s="242"/>
      <c r="AX456" s="242"/>
      <c r="AY456" s="242"/>
      <c r="AZ456" s="242"/>
      <c r="BB456" s="242"/>
    </row>
    <row r="457" s="101" customFormat="1" customHeight="1" spans="1:85">
      <c r="A457" s="238"/>
      <c r="M457" s="239"/>
      <c r="N457" s="240"/>
      <c r="O457" s="157"/>
      <c r="Q457" s="241"/>
      <c r="R457" s="242"/>
      <c r="S457" s="243"/>
      <c r="T457" s="238"/>
      <c r="U457" s="243"/>
      <c r="V457" s="242"/>
      <c r="X457" s="242"/>
      <c r="AB457" s="242"/>
      <c r="AH457" s="242"/>
      <c r="AK457" s="205"/>
      <c r="AM457" s="244"/>
      <c r="AP457" s="376"/>
      <c r="AQ457" s="242"/>
      <c r="AR457" s="242"/>
      <c r="AS457" s="242"/>
      <c r="AT457" s="242"/>
      <c r="AU457" s="242"/>
      <c r="AV457" s="242"/>
      <c r="AW457" s="242"/>
      <c r="AX457" s="242"/>
      <c r="AY457" s="242"/>
      <c r="AZ457" s="242"/>
      <c r="BB457" s="242"/>
    </row>
    <row r="458" s="101" customFormat="1" customHeight="1" spans="1:85">
      <c r="A458" s="238"/>
      <c r="M458" s="239"/>
      <c r="N458" s="240"/>
      <c r="O458" s="157"/>
      <c r="Q458" s="241"/>
      <c r="R458" s="242"/>
      <c r="S458" s="243"/>
      <c r="T458" s="238"/>
      <c r="U458" s="243"/>
      <c r="V458" s="242"/>
      <c r="X458" s="242"/>
      <c r="AB458" s="242"/>
      <c r="AH458" s="242"/>
      <c r="AK458" s="205"/>
      <c r="AM458" s="244"/>
      <c r="AP458" s="376"/>
      <c r="AQ458" s="242"/>
      <c r="AR458" s="242"/>
      <c r="AS458" s="242"/>
      <c r="AT458" s="242"/>
      <c r="AU458" s="242"/>
      <c r="AV458" s="242"/>
      <c r="AW458" s="242"/>
      <c r="AX458" s="242"/>
      <c r="AY458" s="242"/>
      <c r="AZ458" s="242"/>
      <c r="BB458" s="242"/>
    </row>
    <row r="459" s="101" customFormat="1" customHeight="1" spans="1:85">
      <c r="A459" s="238"/>
      <c r="M459" s="239"/>
      <c r="N459" s="240"/>
      <c r="O459" s="157"/>
      <c r="Q459" s="241"/>
      <c r="R459" s="242"/>
      <c r="S459" s="243"/>
      <c r="T459" s="238"/>
      <c r="U459" s="243"/>
      <c r="V459" s="242"/>
      <c r="X459" s="242"/>
      <c r="AB459" s="242"/>
      <c r="AH459" s="242"/>
      <c r="AK459" s="205"/>
      <c r="AM459" s="244"/>
      <c r="AP459" s="376"/>
      <c r="AQ459" s="242"/>
      <c r="AR459" s="242"/>
      <c r="AS459" s="242"/>
      <c r="AT459" s="242"/>
      <c r="AU459" s="242"/>
      <c r="AV459" s="242"/>
      <c r="AW459" s="242"/>
      <c r="AX459" s="242"/>
      <c r="AY459" s="242"/>
      <c r="AZ459" s="242"/>
      <c r="BB459" s="242"/>
    </row>
    <row r="460" s="101" customFormat="1" customHeight="1" spans="1:85">
      <c r="A460" s="238"/>
      <c r="M460" s="239"/>
      <c r="N460" s="240"/>
      <c r="O460" s="157"/>
      <c r="Q460" s="241"/>
      <c r="R460" s="242"/>
      <c r="S460" s="243"/>
      <c r="T460" s="238"/>
      <c r="U460" s="243"/>
      <c r="V460" s="242"/>
      <c r="X460" s="242"/>
      <c r="AB460" s="242"/>
      <c r="AH460" s="242"/>
      <c r="AK460" s="205"/>
      <c r="AM460" s="244"/>
      <c r="AP460" s="376"/>
      <c r="AQ460" s="242"/>
      <c r="AR460" s="242"/>
      <c r="AS460" s="242"/>
      <c r="AT460" s="242"/>
      <c r="AU460" s="242"/>
      <c r="AV460" s="242"/>
      <c r="AW460" s="242"/>
      <c r="AX460" s="242"/>
      <c r="AY460" s="242"/>
      <c r="AZ460" s="242"/>
      <c r="BB460" s="242"/>
    </row>
  </sheetData>
  <autoFilter xmlns:etc="http://www.wps.cn/officeDocument/2017/etCustomData" ref="A3:CP454" etc:filterBottomFollowUsedRange="0">
    <extLst/>
  </autoFilter>
  <sortState ref="CI2">
    <sortCondition ref="CI2"/>
  </sortState>
  <mergeCells count="78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H151:H152"/>
    <mergeCell ref="I2:I3"/>
    <mergeCell ref="J2:J3"/>
    <mergeCell ref="J151:J152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G2:CG3"/>
    <mergeCell ref="CI2:CI3"/>
    <mergeCell ref="CJ2:CJ3"/>
    <mergeCell ref="CN2:CN3"/>
    <mergeCell ref="CK2:CM3"/>
  </mergeCells>
  <conditionalFormatting sqref="I10">
    <cfRule type="expression" dxfId="0" priority="212" stopIfTrue="1">
      <formula>P10&lt;&gt;0</formula>
    </cfRule>
  </conditionalFormatting>
  <conditionalFormatting sqref="I58">
    <cfRule type="expression" dxfId="0" priority="224" stopIfTrue="1">
      <formula>P58&lt;&gt;0</formula>
    </cfRule>
  </conditionalFormatting>
  <conditionalFormatting sqref="I125">
    <cfRule type="expression" dxfId="0" priority="6" stopIfTrue="1">
      <formula>P125&lt;&gt;0</formula>
    </cfRule>
  </conditionalFormatting>
  <conditionalFormatting sqref="I137">
    <cfRule type="expression" dxfId="0" priority="216" stopIfTrue="1">
      <formula>P137&lt;&gt;0</formula>
    </cfRule>
  </conditionalFormatting>
  <conditionalFormatting sqref="I157">
    <cfRule type="expression" dxfId="0" priority="16" stopIfTrue="1">
      <formula>P157&lt;&gt;0</formula>
    </cfRule>
  </conditionalFormatting>
  <conditionalFormatting sqref="I189">
    <cfRule type="expression" dxfId="0" priority="24" stopIfTrue="1">
      <formula>P189&lt;&gt;0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J248">
    <cfRule type="expression" dxfId="1" priority="299" stopIfTrue="1">
      <formula>$F248&lt;&gt;0</formula>
    </cfRule>
  </conditionalFormatting>
  <conditionalFormatting sqref="J249">
    <cfRule type="expression" dxfId="1" priority="289" stopIfTrue="1">
      <formula>$F249&lt;&gt;0</formula>
    </cfRule>
  </conditionalFormatting>
  <conditionalFormatting sqref="J250">
    <cfRule type="expression" dxfId="1" priority="297" stopIfTrue="1">
      <formula>$F250&lt;&gt;0</formula>
    </cfRule>
  </conditionalFormatting>
  <conditionalFormatting sqref="J251">
    <cfRule type="expression" dxfId="1" priority="287" stopIfTrue="1">
      <formula>$F251&lt;&gt;0</formula>
    </cfRule>
  </conditionalFormatting>
  <conditionalFormatting sqref="J257">
    <cfRule type="expression" dxfId="1" priority="285" stopIfTrue="1">
      <formula>$F257&lt;&gt;0</formula>
    </cfRule>
  </conditionalFormatting>
  <conditionalFormatting sqref="J258">
    <cfRule type="expression" dxfId="1" priority="269" stopIfTrue="1">
      <formula>$F258&lt;&gt;0</formula>
    </cfRule>
  </conditionalFormatting>
  <conditionalFormatting sqref="J259">
    <cfRule type="expression" dxfId="1" priority="283" stopIfTrue="1">
      <formula>$F259&lt;&gt;0</formula>
    </cfRule>
  </conditionalFormatting>
  <conditionalFormatting sqref="J260">
    <cfRule type="expression" dxfId="1" priority="267" stopIfTrue="1">
      <formula>$F260&lt;&gt;0</formula>
    </cfRule>
  </conditionalFormatting>
  <conditionalFormatting sqref="I261">
    <cfRule type="expression" dxfId="0" priority="124" stopIfTrue="1">
      <formula>P180&lt;&gt;0</formula>
    </cfRule>
  </conditionalFormatting>
  <conditionalFormatting sqref="J261">
    <cfRule type="expression" dxfId="1" priority="251" stopIfTrue="1">
      <formula>$F261&lt;&gt;0</formula>
    </cfRule>
  </conditionalFormatting>
  <conditionalFormatting sqref="J262">
    <cfRule type="expression" dxfId="1" priority="279" stopIfTrue="1">
      <formula>$F262&lt;&gt;0</formula>
    </cfRule>
  </conditionalFormatting>
  <conditionalFormatting sqref="J263">
    <cfRule type="expression" dxfId="1" priority="261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</conditionalFormatting>
  <conditionalFormatting sqref="J265">
    <cfRule type="expression" dxfId="1" priority="259" stopIfTrue="1">
      <formula>$F265&lt;&gt;0</formula>
    </cfRule>
  </conditionalFormatting>
  <conditionalFormatting sqref="J266">
    <cfRule type="expression" dxfId="1" priority="275" stopIfTrue="1">
      <formula>$F266&lt;&gt;0</formula>
    </cfRule>
  </conditionalFormatting>
  <conditionalFormatting sqref="J267">
    <cfRule type="expression" dxfId="1" priority="257" stopIfTrue="1">
      <formula>$F267&lt;&gt;0</formula>
    </cfRule>
  </conditionalFormatting>
  <conditionalFormatting sqref="J268">
    <cfRule type="expression" dxfId="1" priority="273" stopIfTrue="1">
      <formula>$F268&lt;&gt;0</formula>
    </cfRule>
  </conditionalFormatting>
  <conditionalFormatting sqref="J269">
    <cfRule type="expression" dxfId="1" priority="255" stopIfTrue="1">
      <formula>$F269&lt;&gt;0</formula>
    </cfRule>
  </conditionalFormatting>
  <conditionalFormatting sqref="J270">
    <cfRule type="expression" dxfId="1" priority="271" stopIfTrue="1">
      <formula>$F270&lt;&gt;0</formula>
    </cfRule>
  </conditionalFormatting>
  <conditionalFormatting sqref="J271">
    <cfRule type="expression" dxfId="1" priority="253" stopIfTrue="1">
      <formula>$F271&lt;&gt;0</formula>
    </cfRule>
  </conditionalFormatting>
  <conditionalFormatting sqref="I293">
    <cfRule type="expression" dxfId="0" priority="234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</conditionalFormatting>
  <conditionalFormatting sqref="I296">
    <cfRule type="expression" dxfId="0" priority="118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</conditionalFormatting>
  <conditionalFormatting sqref="J299">
    <cfRule type="expression" dxfId="1" priority="384" stopIfTrue="1">
      <formula>$F299&lt;&gt;0</formula>
    </cfRule>
  </conditionalFormatting>
  <conditionalFormatting sqref="I300">
    <cfRule type="expression" dxfId="0" priority="113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</conditionalFormatting>
  <conditionalFormatting sqref="J302">
    <cfRule type="expression" dxfId="1" priority="367" stopIfTrue="1">
      <formula>$F302&lt;&gt;0</formula>
    </cfRule>
  </conditionalFormatting>
  <conditionalFormatting sqref="J303">
    <cfRule type="expression" dxfId="1" priority="380" stopIfTrue="1">
      <formula>$F303&lt;&gt;0</formula>
    </cfRule>
  </conditionalFormatting>
  <conditionalFormatting sqref="J304">
    <cfRule type="expression" dxfId="1" priority="365" stopIfTrue="1">
      <formula>$F304&lt;&gt;0</formula>
    </cfRule>
  </conditionalFormatting>
  <conditionalFormatting sqref="I305">
    <cfRule type="expression" dxfId="0" priority="107" stopIfTrue="1">
      <formula>P254&lt;&gt;0</formula>
    </cfRule>
  </conditionalFormatting>
  <conditionalFormatting sqref="J305">
    <cfRule type="expression" dxfId="1" priority="378" stopIfTrue="1">
      <formula>$F305&lt;&gt;0</formula>
    </cfRule>
  </conditionalFormatting>
  <conditionalFormatting sqref="I306">
    <cfRule type="expression" dxfId="0" priority="105" stopIfTrue="1">
      <formula>P256&lt;&gt;0</formula>
    </cfRule>
  </conditionalFormatting>
  <conditionalFormatting sqref="J306">
    <cfRule type="expression" dxfId="1" priority="363" stopIfTrue="1">
      <formula>$F306&lt;&gt;0</formula>
    </cfRule>
  </conditionalFormatting>
  <conditionalFormatting sqref="I307">
    <cfRule type="expression" dxfId="0" priority="237" stopIfTrue="1">
      <formula>P257&lt;&gt;0</formula>
    </cfRule>
  </conditionalFormatting>
  <conditionalFormatting sqref="J307">
    <cfRule type="expression" dxfId="1" priority="376" stopIfTrue="1">
      <formula>$F307&lt;&gt;0</formula>
    </cfRule>
  </conditionalFormatting>
  <conditionalFormatting sqref="J308">
    <cfRule type="expression" dxfId="1" priority="361" stopIfTrue="1">
      <formula>$F308&lt;&gt;0</formula>
    </cfRule>
  </conditionalFormatting>
  <conditionalFormatting sqref="J309">
    <cfRule type="expression" dxfId="1" priority="374" stopIfTrue="1">
      <formula>$F309&lt;&gt;0</formula>
    </cfRule>
  </conditionalFormatting>
  <conditionalFormatting sqref="J310">
    <cfRule type="expression" dxfId="1" priority="359" stopIfTrue="1">
      <formula>$F310&lt;&gt;0</formula>
    </cfRule>
  </conditionalFormatting>
  <conditionalFormatting sqref="J311">
    <cfRule type="expression" dxfId="1" priority="372" stopIfTrue="1">
      <formula>$F311&lt;&gt;0</formula>
    </cfRule>
  </conditionalFormatting>
  <conditionalFormatting sqref="J312">
    <cfRule type="expression" dxfId="1" priority="357" stopIfTrue="1">
      <formula>$F312&lt;&gt;0</formula>
    </cfRule>
  </conditionalFormatting>
  <conditionalFormatting sqref="I313">
    <cfRule type="expression" dxfId="0" priority="506" stopIfTrue="1">
      <formula>#REF!&lt;&gt;0</formula>
    </cfRule>
  </conditionalFormatting>
  <conditionalFormatting sqref="I314">
    <cfRule type="expression" dxfId="0" priority="101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</conditionalFormatting>
  <conditionalFormatting sqref="J339">
    <cfRule type="expression" dxfId="1" priority="339" stopIfTrue="1">
      <formula>$F339&lt;&gt;0</formula>
    </cfRule>
  </conditionalFormatting>
  <conditionalFormatting sqref="J341">
    <cfRule type="expression" dxfId="1" priority="337" stopIfTrue="1">
      <formula>$F341&lt;&gt;0</formula>
    </cfRule>
  </conditionalFormatting>
  <conditionalFormatting sqref="J342">
    <cfRule type="expression" dxfId="1" priority="321" stopIfTrue="1">
      <formula>$F342&lt;&gt;0</formula>
    </cfRule>
  </conditionalFormatting>
  <conditionalFormatting sqref="J343">
    <cfRule type="expression" dxfId="1" priority="335" stopIfTrue="1">
      <formula>$F343&lt;&gt;0</formula>
    </cfRule>
  </conditionalFormatting>
  <conditionalFormatting sqref="J344">
    <cfRule type="expression" dxfId="1" priority="319" stopIfTrue="1">
      <formula>$F344&lt;&gt;0</formula>
    </cfRule>
  </conditionalFormatting>
  <conditionalFormatting sqref="J345">
    <cfRule type="expression" dxfId="1" priority="333" stopIfTrue="1">
      <formula>$F345&lt;&gt;0</formula>
    </cfRule>
  </conditionalFormatting>
  <conditionalFormatting sqref="J346">
    <cfRule type="expression" dxfId="1" priority="317" stopIfTrue="1">
      <formula>$F346&lt;&gt;0</formula>
    </cfRule>
  </conditionalFormatting>
  <conditionalFormatting sqref="J347">
    <cfRule type="expression" dxfId="1" priority="327" stopIfTrue="1">
      <formula>$F347&lt;&gt;0</formula>
    </cfRule>
  </conditionalFormatting>
  <conditionalFormatting sqref="J348">
    <cfRule type="expression" dxfId="1" priority="311" stopIfTrue="1">
      <formula>$F348&lt;&gt;0</formula>
    </cfRule>
  </conditionalFormatting>
  <conditionalFormatting sqref="J349">
    <cfRule type="expression" dxfId="1" priority="325" stopIfTrue="1">
      <formula>$F349&lt;&gt;0</formula>
    </cfRule>
  </conditionalFormatting>
  <conditionalFormatting sqref="J350">
    <cfRule type="expression" dxfId="1" priority="309" stopIfTrue="1">
      <formula>$F350&lt;&gt;0</formula>
    </cfRule>
  </conditionalFormatting>
  <conditionalFormatting sqref="J351">
    <cfRule type="expression" dxfId="1" priority="323" stopIfTrue="1">
      <formula>$F351&lt;&gt;0</formula>
    </cfRule>
  </conditionalFormatting>
  <conditionalFormatting sqref="J352">
    <cfRule type="expression" dxfId="1" priority="307" stopIfTrue="1">
      <formula>$F352&lt;&gt;0</formula>
    </cfRule>
  </conditionalFormatting>
  <conditionalFormatting sqref="I358">
    <cfRule type="expression" dxfId="0" priority="80" stopIfTrue="1">
      <formula>P286&lt;&gt;0</formula>
    </cfRule>
  </conditionalFormatting>
  <conditionalFormatting sqref="I359">
    <cfRule type="expression" dxfId="0" priority="78" stopIfTrue="1">
      <formula>P288&lt;&gt;0</formula>
    </cfRule>
  </conditionalFormatting>
  <conditionalFormatting sqref="I360">
    <cfRule type="expression" dxfId="0" priority="248" stopIfTrue="1">
      <formula>P291&lt;&gt;0</formula>
    </cfRule>
  </conditionalFormatting>
  <conditionalFormatting sqref="I364">
    <cfRule type="expression" dxfId="0" priority="1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</conditionalFormatting>
  <conditionalFormatting sqref="J381">
    <cfRule type="expression" dxfId="1" priority="442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</conditionalFormatting>
  <conditionalFormatting sqref="J389">
    <cfRule type="expression" dxfId="1" priority="434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</conditionalFormatting>
  <conditionalFormatting sqref="I398">
    <cfRule type="expression" dxfId="0" priority="58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</conditionalFormatting>
  <conditionalFormatting sqref="I410">
    <cfRule type="expression" dxfId="0" priority="54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25:I26">
    <cfRule type="expression" dxfId="0" priority="200" stopIfTrue="1">
      <formula>P25&lt;&gt;0</formula>
    </cfRule>
  </conditionalFormatting>
  <conditionalFormatting sqref="I27:I28">
    <cfRule type="expression" dxfId="0" priority="198" stopIfTrue="1">
      <formula>P27&lt;&gt;0</formula>
    </cfRule>
  </conditionalFormatting>
  <conditionalFormatting sqref="I29:I30">
    <cfRule type="expression" dxfId="0" priority="196" stopIfTrue="1">
      <formula>P29&lt;&gt;0</formula>
    </cfRule>
  </conditionalFormatting>
  <conditionalFormatting sqref="I31:I32">
    <cfRule type="expression" dxfId="0" priority="194" stopIfTrue="1">
      <formula>P31&lt;&gt;0</formula>
    </cfRule>
  </conditionalFormatting>
  <conditionalFormatting sqref="I33:I34">
    <cfRule type="expression" dxfId="0" priority="192" stopIfTrue="1">
      <formula>P33&lt;&gt;0</formula>
    </cfRule>
  </conditionalFormatting>
  <conditionalFormatting sqref="I35:I36">
    <cfRule type="expression" dxfId="0" priority="190" stopIfTrue="1">
      <formula>P35&lt;&gt;0</formula>
    </cfRule>
  </conditionalFormatting>
  <conditionalFormatting sqref="I38:I43">
    <cfRule type="expression" dxfId="0" priority="188" stopIfTrue="1">
      <formula>P38&lt;&gt;0</formula>
    </cfRule>
  </conditionalFormatting>
  <conditionalFormatting sqref="I44:I45">
    <cfRule type="expression" dxfId="0" priority="186" stopIfTrue="1">
      <formula>P44&lt;&gt;0</formula>
    </cfRule>
  </conditionalFormatting>
  <conditionalFormatting sqref="I46:I47">
    <cfRule type="expression" dxfId="0" priority="184" stopIfTrue="1">
      <formula>P46&lt;&gt;0</formula>
    </cfRule>
  </conditionalFormatting>
  <conditionalFormatting sqref="I48:I49">
    <cfRule type="expression" dxfId="0" priority="182" stopIfTrue="1">
      <formula>P48&lt;&gt;0</formula>
    </cfRule>
  </conditionalFormatting>
  <conditionalFormatting sqref="I50:I51">
    <cfRule type="expression" dxfId="0" priority="180" stopIfTrue="1">
      <formula>P50&lt;&gt;0</formula>
    </cfRule>
  </conditionalFormatting>
  <conditionalFormatting sqref="I52:I53">
    <cfRule type="expression" dxfId="0" priority="178" stopIfTrue="1">
      <formula>P52&lt;&gt;0</formula>
    </cfRule>
  </conditionalFormatting>
  <conditionalFormatting sqref="I59:I61">
    <cfRule type="expression" dxfId="0" priority="222" stopIfTrue="1">
      <formula>P59&lt;&gt;0</formula>
    </cfRule>
  </conditionalFormatting>
  <conditionalFormatting sqref="I62:I85">
    <cfRule type="expression" dxfId="0" priority="176" stopIfTrue="1">
      <formula>P62&lt;&gt;0</formula>
    </cfRule>
  </conditionalFormatting>
  <conditionalFormatting sqref="I86:I87">
    <cfRule type="expression" dxfId="0" priority="174" stopIfTrue="1">
      <formula>P86&lt;&gt;0</formula>
    </cfRule>
  </conditionalFormatting>
  <conditionalFormatting sqref="I88:I89">
    <cfRule type="expression" dxfId="0" priority="172" stopIfTrue="1">
      <formula>P88&lt;&gt;0</formula>
    </cfRule>
  </conditionalFormatting>
  <conditionalFormatting sqref="I90:I102">
    <cfRule type="expression" dxfId="0" priority="170" stopIfTrue="1">
      <formula>P90&lt;&gt;0</formula>
    </cfRule>
  </conditionalFormatting>
  <conditionalFormatting sqref="I103:I110">
    <cfRule type="expression" dxfId="0" priority="220" stopIfTrue="1">
      <formula>P103&lt;&gt;0</formula>
    </cfRule>
  </conditionalFormatting>
  <conditionalFormatting sqref="I111:I136">
    <cfRule type="expression" dxfId="0" priority="218" stopIfTrue="1">
      <formula>P111&lt;&gt;0</formula>
    </cfRule>
  </conditionalFormatting>
  <conditionalFormatting sqref="I125:I134">
    <cfRule type="expression" dxfId="0" priority="12" stopIfTrue="1">
      <formula>P125&lt;&gt;0</formula>
    </cfRule>
  </conditionalFormatting>
  <conditionalFormatting sqref="I125:I132">
    <cfRule type="expression" dxfId="0" priority="8" stopIfTrue="1">
      <formula>P55&lt;&gt;0</formula>
    </cfRule>
  </conditionalFormatting>
  <conditionalFormatting sqref="I126:I131">
    <cfRule type="expression" dxfId="0" priority="4" stopIfTrue="1">
      <formula>P56&lt;&gt;0</formula>
    </cfRule>
  </conditionalFormatting>
  <conditionalFormatting sqref="I133:I134">
    <cfRule type="expression" dxfId="0" priority="10" stopIfTrue="1">
      <formula>P103&lt;&gt;0</formula>
    </cfRule>
  </conditionalFormatting>
  <conditionalFormatting sqref="I138:I140">
    <cfRule type="expression" dxfId="0" priority="214" stopIfTrue="1">
      <formula>P138&lt;&gt;0</formula>
    </cfRule>
  </conditionalFormatting>
  <conditionalFormatting sqref="I141:I142">
    <cfRule type="expression" dxfId="0" priority="164" stopIfTrue="1">
      <formula>P141&lt;&gt;0</formula>
    </cfRule>
  </conditionalFormatting>
  <conditionalFormatting sqref="I143:I144">
    <cfRule type="expression" dxfId="0" priority="162" stopIfTrue="1">
      <formula>P143&lt;&gt;0</formula>
    </cfRule>
  </conditionalFormatting>
  <conditionalFormatting sqref="I145:I146">
    <cfRule type="expression" dxfId="0" priority="160" stopIfTrue="1">
      <formula>P145&lt;&gt;0</formula>
    </cfRule>
  </conditionalFormatting>
  <conditionalFormatting sqref="I147:I148">
    <cfRule type="expression" dxfId="0" priority="158" stopIfTrue="1">
      <formula>P147&lt;&gt;0</formula>
    </cfRule>
  </conditionalFormatting>
  <conditionalFormatting sqref="I149:I150">
    <cfRule type="expression" dxfId="0" priority="156" stopIfTrue="1">
      <formula>P149&lt;&gt;0</formula>
    </cfRule>
  </conditionalFormatting>
  <conditionalFormatting sqref="I151:I152">
    <cfRule type="expression" dxfId="0" priority="154" stopIfTrue="1">
      <formula>P151&lt;&gt;0</formula>
    </cfRule>
  </conditionalFormatting>
  <conditionalFormatting sqref="I153:I166">
    <cfRule type="expression" dxfId="0" priority="152" stopIfTrue="1">
      <formula>P153&lt;&gt;0</formula>
    </cfRule>
  </conditionalFormatting>
  <conditionalFormatting sqref="I157:I164">
    <cfRule type="expression" dxfId="0" priority="18" stopIfTrue="1">
      <formula>P107&lt;&gt;0</formula>
    </cfRule>
  </conditionalFormatting>
  <conditionalFormatting sqref="I158:I163">
    <cfRule type="expression" dxfId="0" priority="14" stopIfTrue="1">
      <formula>P108&lt;&gt;0</formula>
    </cfRule>
  </conditionalFormatting>
  <conditionalFormatting sqref="I165:I166">
    <cfRule type="expression" dxfId="0" priority="20" stopIfTrue="1">
      <formula>P135&lt;&gt;0</formula>
    </cfRule>
  </conditionalFormatting>
  <conditionalFormatting sqref="I167:I168">
    <cfRule type="expression" dxfId="0" priority="150" stopIfTrue="1">
      <formula>P167&lt;&gt;0</formula>
    </cfRule>
  </conditionalFormatting>
  <conditionalFormatting sqref="I169:I170">
    <cfRule type="expression" dxfId="0" priority="148" stopIfTrue="1">
      <formula>P169&lt;&gt;0</formula>
    </cfRule>
  </conditionalFormatting>
  <conditionalFormatting sqref="I171:I172">
    <cfRule type="expression" dxfId="0" priority="146" stopIfTrue="1">
      <formula>P171&lt;&gt;0</formula>
    </cfRule>
  </conditionalFormatting>
  <conditionalFormatting sqref="I173:I174">
    <cfRule type="expression" dxfId="0" priority="144" stopIfTrue="1">
      <formula>P173&lt;&gt;0</formula>
    </cfRule>
  </conditionalFormatting>
  <conditionalFormatting sqref="I175:I176">
    <cfRule type="expression" dxfId="0" priority="142" stopIfTrue="1">
      <formula>P175&lt;&gt;0</formula>
    </cfRule>
  </conditionalFormatting>
  <conditionalFormatting sqref="I177:I178">
    <cfRule type="expression" dxfId="0" priority="140" stopIfTrue="1">
      <formula>P177&lt;&gt;0</formula>
    </cfRule>
  </conditionalFormatting>
  <conditionalFormatting sqref="I180:I185">
    <cfRule type="expression" dxfId="0" priority="230" stopIfTrue="1">
      <formula>P140&lt;&gt;0</formula>
    </cfRule>
  </conditionalFormatting>
  <conditionalFormatting sqref="I186:I187">
    <cfRule type="expression" dxfId="0" priority="138" stopIfTrue="1">
      <formula>P146&lt;&gt;0</formula>
    </cfRule>
  </conditionalFormatting>
  <conditionalFormatting sqref="I188:I196">
    <cfRule type="expression" dxfId="0" priority="136" stopIfTrue="1">
      <formula>P148&lt;&gt;0</formula>
    </cfRule>
  </conditionalFormatting>
  <conditionalFormatting sqref="I190:I195">
    <cfRule type="expression" dxfId="0" priority="22" stopIfTrue="1">
      <formula>P150&lt;&gt;0</formula>
    </cfRule>
  </conditionalFormatting>
  <conditionalFormatting sqref="I232:I237">
    <cfRule type="expression" dxfId="0" priority="489" stopIfTrue="1">
      <formula>P192&lt;&gt;0</formula>
    </cfRule>
  </conditionalFormatting>
  <conditionalFormatting sqref="I238:I243">
    <cfRule type="expression" dxfId="0" priority="487" stopIfTrue="1">
      <formula>P188&lt;&gt;0</formula>
    </cfRule>
  </conditionalFormatting>
  <conditionalFormatting sqref="I244:I247">
    <cfRule type="expression" dxfId="0" priority="485" stopIfTrue="1">
      <formula>P174&lt;&gt;0</formula>
    </cfRule>
  </conditionalFormatting>
  <conditionalFormatting sqref="I248:I249">
    <cfRule type="expression" dxfId="0" priority="134" stopIfTrue="1">
      <formula>P152&lt;&gt;0</formula>
    </cfRule>
  </conditionalFormatting>
  <conditionalFormatting sqref="I250:I251">
    <cfRule type="expression" dxfId="0" priority="132" stopIfTrue="1">
      <formula>P154&lt;&gt;0</formula>
    </cfRule>
  </conditionalFormatting>
  <conditionalFormatting sqref="I252:I256">
    <cfRule type="expression" dxfId="0" priority="228" stopIfTrue="1">
      <formula>P169&lt;&gt;0</formula>
    </cfRule>
  </conditionalFormatting>
  <conditionalFormatting sqref="I257:I258">
    <cfRule type="expression" dxfId="0" priority="128" stopIfTrue="1">
      <formula>P176&lt;&gt;0</formula>
    </cfRule>
  </conditionalFormatting>
  <conditionalFormatting sqref="I259:I260">
    <cfRule type="expression" dxfId="0" priority="126" stopIfTrue="1">
      <formula>P178&lt;&gt;0</formula>
    </cfRule>
  </conditionalFormatting>
  <conditionalFormatting sqref="I262:I263">
    <cfRule type="expression" dxfId="0" priority="120" stopIfTrue="1">
      <formula>P184&lt;&gt;0</formula>
    </cfRule>
  </conditionalFormatting>
  <conditionalFormatting sqref="I265:I266">
    <cfRule type="expression" dxfId="0" priority="483" stopIfTrue="1">
      <formula>P187&lt;&gt;0</formula>
    </cfRule>
  </conditionalFormatting>
  <conditionalFormatting sqref="I267:I269">
    <cfRule type="expression" dxfId="0" priority="493" stopIfTrue="1">
      <formula>#REF!&lt;&gt;0</formula>
    </cfRule>
  </conditionalFormatting>
  <conditionalFormatting sqref="I270:I273">
    <cfRule type="expression" dxfId="0" priority="499" stopIfTrue="1">
      <formula>P248&lt;&gt;0</formula>
    </cfRule>
  </conditionalFormatting>
  <conditionalFormatting sqref="I274:I276">
    <cfRule type="expression" dxfId="0" priority="497" stopIfTrue="1">
      <formula>#REF!&lt;&gt;0</formula>
    </cfRule>
  </conditionalFormatting>
  <conditionalFormatting sqref="I277:I281">
    <cfRule type="expression" dxfId="0" priority="503" stopIfTrue="1">
      <formula>P252&lt;&gt;0</formula>
    </cfRule>
  </conditionalFormatting>
  <conditionalFormatting sqref="I282:I283">
    <cfRule type="expression" dxfId="0" priority="501" stopIfTrue="1">
      <formula>#REF!&lt;&gt;0</formula>
    </cfRule>
  </conditionalFormatting>
  <conditionalFormatting sqref="I284:I288">
    <cfRule type="expression" dxfId="0" priority="510" stopIfTrue="1">
      <formula>P257&lt;&gt;0</formula>
    </cfRule>
  </conditionalFormatting>
  <conditionalFormatting sqref="I289:I291">
    <cfRule type="expression" dxfId="0" priority="508" stopIfTrue="1">
      <formula>#REF!&lt;&gt;0</formula>
    </cfRule>
  </conditionalFormatting>
  <conditionalFormatting sqref="I294:I295">
    <cfRule type="expression" dxfId="0" priority="491" stopIfTrue="1">
      <formula>#REF!&lt;&gt;0</formula>
    </cfRule>
  </conditionalFormatting>
  <conditionalFormatting sqref="I297:I298">
    <cfRule type="expression" dxfId="0" priority="115" stopIfTrue="1">
      <formula>P249&lt;&gt;0</formula>
    </cfRule>
  </conditionalFormatting>
  <conditionalFormatting sqref="I301:I302">
    <cfRule type="expression" dxfId="0" priority="111" stopIfTrue="1">
      <formula>#REF!&lt;&gt;0</formula>
    </cfRule>
  </conditionalFormatting>
  <conditionalFormatting sqref="I303:I304">
    <cfRule type="expression" dxfId="0" priority="109" stopIfTrue="1">
      <formula>P252&lt;&gt;0</formula>
    </cfRule>
  </conditionalFormatting>
  <conditionalFormatting sqref="I308:I310">
    <cfRule type="expression" dxfId="0" priority="117" stopIfTrue="1">
      <formula>P259&lt;&gt;0</formula>
    </cfRule>
  </conditionalFormatting>
  <conditionalFormatting sqref="I311:I312">
    <cfRule type="expression" dxfId="0" priority="103" stopIfTrue="1">
      <formula>#REF!&lt;&gt;0</formula>
    </cfRule>
  </conditionalFormatting>
  <conditionalFormatting sqref="I315:I316">
    <cfRule type="expression" dxfId="0" priority="99" stopIfTrue="1">
      <formula>P263&lt;&gt;0</formula>
    </cfRule>
  </conditionalFormatting>
  <conditionalFormatting sqref="I317:I318">
    <cfRule type="expression" dxfId="0" priority="97" stopIfTrue="1">
      <formula>P265&lt;&gt;0</formula>
    </cfRule>
  </conditionalFormatting>
  <conditionalFormatting sqref="I322:I346">
    <cfRule type="expression" dxfId="0" priority="66" stopIfTrue="1">
      <formula>P272&lt;&gt;0</formula>
    </cfRule>
  </conditionalFormatting>
  <conditionalFormatting sqref="I348:I349">
    <cfRule type="expression" dxfId="0" priority="91" stopIfTrue="1">
      <formula>P276&lt;&gt;0</formula>
    </cfRule>
  </conditionalFormatting>
  <conditionalFormatting sqref="I350:I351">
    <cfRule type="expression" dxfId="0" priority="88" stopIfTrue="1">
      <formula>P278&lt;&gt;0</formula>
    </cfRule>
  </conditionalFormatting>
  <conditionalFormatting sqref="I352:I353">
    <cfRule type="expression" dxfId="0" priority="86" stopIfTrue="1">
      <formula>P280&lt;&gt;0</formula>
    </cfRule>
  </conditionalFormatting>
  <conditionalFormatting sqref="I354:I355">
    <cfRule type="expression" dxfId="0" priority="84" stopIfTrue="1">
      <formula>P282&lt;&gt;0</formula>
    </cfRule>
  </conditionalFormatting>
  <conditionalFormatting sqref="I356:I357">
    <cfRule type="expression" dxfId="0" priority="82" stopIfTrue="1">
      <formula>P284&lt;&gt;0</formula>
    </cfRule>
  </conditionalFormatting>
  <conditionalFormatting sqref="I366:I367">
    <cfRule type="expression" dxfId="0" priority="74" stopIfTrue="1">
      <formula>P298&lt;&gt;0</formula>
    </cfRule>
  </conditionalFormatting>
  <conditionalFormatting sqref="I368:I369">
    <cfRule type="expression" dxfId="0" priority="72" stopIfTrue="1">
      <formula>P300&lt;&gt;0</formula>
    </cfRule>
  </conditionalFormatting>
  <conditionalFormatting sqref="I370:I371">
    <cfRule type="expression" dxfId="0" priority="70" stopIfTrue="1">
      <formula>P302&lt;&gt;0</formula>
    </cfRule>
  </conditionalFormatting>
  <conditionalFormatting sqref="I375:I387">
    <cfRule type="expression" dxfId="0" priority="90" stopIfTrue="1">
      <formula>P307&lt;&gt;0</formula>
    </cfRule>
  </conditionalFormatting>
  <conditionalFormatting sqref="I391:I397">
    <cfRule type="expression" dxfId="0" priority="46" stopIfTrue="1">
      <formula>P363&lt;&gt;0</formula>
    </cfRule>
  </conditionalFormatting>
  <conditionalFormatting sqref="I398:I402">
    <cfRule type="expression" dxfId="0" priority="516" stopIfTrue="1">
      <formula>P342&lt;&gt;0</formula>
    </cfRule>
  </conditionalFormatting>
  <conditionalFormatting sqref="I399:I400">
    <cfRule type="expression" dxfId="0" priority="44" stopIfTrue="1">
      <formula>P361&lt;&gt;0</formula>
    </cfRule>
  </conditionalFormatting>
  <conditionalFormatting sqref="I401:I402">
    <cfRule type="expression" dxfId="0" priority="42" stopIfTrue="1">
      <formula>P363&lt;&gt;0</formula>
    </cfRule>
  </conditionalFormatting>
  <conditionalFormatting sqref="I403:I404">
    <cfRule type="expression" dxfId="0" priority="40" stopIfTrue="1">
      <formula>P365&lt;&gt;0</formula>
    </cfRule>
  </conditionalFormatting>
  <conditionalFormatting sqref="I403:I406">
    <cfRule type="expression" dxfId="0" priority="512" stopIfTrue="1">
      <formula>#REF!&lt;&gt;0</formula>
    </cfRule>
  </conditionalFormatting>
  <conditionalFormatting sqref="I405:I406">
    <cfRule type="expression" dxfId="0" priority="38" stopIfTrue="1">
      <formula>P367&lt;&gt;0</formula>
    </cfRule>
  </conditionalFormatting>
  <conditionalFormatting sqref="I407:I408">
    <cfRule type="expression" dxfId="0" priority="36" stopIfTrue="1">
      <formula>P369&lt;&gt;0</formula>
    </cfRule>
  </conditionalFormatting>
  <conditionalFormatting sqref="I407:I441">
    <cfRule type="expression" dxfId="0" priority="241" stopIfTrue="1">
      <formula>P347&lt;&gt;0</formula>
    </cfRule>
  </conditionalFormatting>
  <conditionalFormatting sqref="I412:I416">
    <cfRule type="expression" dxfId="0" priority="34" stopIfTrue="1">
      <formula>P378&lt;&gt;0</formula>
    </cfRule>
  </conditionalFormatting>
  <conditionalFormatting sqref="I417:I418">
    <cfRule type="expression" dxfId="0" priority="32" stopIfTrue="1">
      <formula>P383&lt;&gt;0</formula>
    </cfRule>
  </conditionalFormatting>
  <conditionalFormatting sqref="I419:I420">
    <cfRule type="expression" dxfId="0" priority="30" stopIfTrue="1">
      <formula>P385&lt;&gt;0</formula>
    </cfRule>
  </conditionalFormatting>
  <conditionalFormatting sqref="I421:I422">
    <cfRule type="expression" dxfId="0" priority="28" stopIfTrue="1">
      <formula>P387&lt;&gt;0</formula>
    </cfRule>
  </conditionalFormatting>
  <conditionalFormatting sqref="I426:I438">
    <cfRule type="expression" dxfId="0" priority="26" stopIfTrue="1">
      <formula>#REF!&lt;&gt;0</formula>
    </cfRule>
  </conditionalFormatting>
  <conditionalFormatting sqref="J198:J247">
    <cfRule type="expression" dxfId="1" priority="303" stopIfTrue="1">
      <formula>$F198&lt;&gt;0</formula>
    </cfRule>
  </conditionalFormatting>
  <conditionalFormatting sqref="J255:J256">
    <cfRule type="expression" dxfId="1" priority="472" stopIfTrue="1">
      <formula>$F255&lt;&gt;0</formula>
    </cfRule>
  </conditionalFormatting>
  <conditionalFormatting sqref="J272:J291">
    <cfRule type="expression" dxfId="1" priority="468" stopIfTrue="1">
      <formula>$F272&lt;&gt;0</formula>
    </cfRule>
  </conditionalFormatting>
  <conditionalFormatting sqref="J292:J293">
    <cfRule type="expression" dxfId="1" priority="466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</conditionalFormatting>
  <conditionalFormatting sqref="I347 I391:I397">
    <cfRule type="expression" dxfId="0" priority="514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</conditionalFormatting>
  <conditionalFormatting sqref="I373 I424">
    <cfRule type="expression" dxfId="0" priority="62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T102"/>
  <sheetViews>
    <sheetView zoomScale="80" zoomScaleNormal="80" topLeftCell="AB1" workbookViewId="0">
      <pane ySplit="3" topLeftCell="A4" activePane="bottomLeft" state="frozen"/>
      <selection/>
      <selection pane="bottomLeft" activeCell="AP71" sqref="AP71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24.2166666666667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4" width="14.2166666666667" style="107" customWidth="1"/>
    <col min="15" max="15" width="15.775" style="107" customWidth="1"/>
    <col min="16" max="17" width="12.125" style="107" customWidth="1"/>
    <col min="18" max="18" width="17.025" style="107" customWidth="1"/>
    <col min="19" max="19" width="16.4" style="107" customWidth="1"/>
    <col min="20" max="21" width="12.125" style="107" customWidth="1"/>
    <col min="22" max="22" width="20.4666666666667" style="107" customWidth="1"/>
    <col min="23" max="23" width="16.7166666666667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94" customWidth="1"/>
    <col min="35" max="35" width="14.375" style="107" customWidth="1"/>
    <col min="36" max="36" width="17" style="107" customWidth="1"/>
    <col min="37" max="37" width="16.375" style="195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6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63" width="19.8416666666667" style="107" customWidth="1"/>
    <col min="64" max="64" width="13" style="107" customWidth="1"/>
    <col min="65" max="65" width="15.875" style="107"/>
    <col min="66" max="70" width="9" style="107"/>
    <col min="71" max="71" width="9.375" style="107"/>
    <col min="72" max="72" width="25.125" style="107" customWidth="1"/>
    <col min="73" max="73" width="9" style="107"/>
    <col min="74" max="74" width="9.375" style="107"/>
    <col min="75" max="76" width="9" style="107"/>
    <col min="77" max="16384" width="9" style="196"/>
  </cols>
  <sheetData>
    <row r="1" s="101" customFormat="1" customHeight="1" spans="1:71">
      <c r="A1" s="197" t="s">
        <v>5507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8"/>
      <c r="AI1" s="197"/>
      <c r="AJ1" s="197"/>
      <c r="AK1" s="199"/>
      <c r="AL1" s="197"/>
      <c r="AM1" s="197"/>
      <c r="AN1" s="197"/>
      <c r="AP1" s="200"/>
    </row>
    <row r="2" s="102" customFormat="1" customHeight="1" spans="1:71">
      <c r="A2" s="110" t="s">
        <v>38</v>
      </c>
      <c r="B2" s="102" t="s">
        <v>172</v>
      </c>
      <c r="C2" s="113" t="s">
        <v>173</v>
      </c>
      <c r="D2" s="102" t="s">
        <v>174</v>
      </c>
      <c r="F2" s="102" t="s">
        <v>176</v>
      </c>
      <c r="G2" s="102" t="s">
        <v>177</v>
      </c>
      <c r="H2" s="102" t="s">
        <v>175</v>
      </c>
      <c r="I2" s="102" t="s">
        <v>179</v>
      </c>
      <c r="J2" s="114" t="s">
        <v>1145</v>
      </c>
      <c r="K2" s="102" t="s">
        <v>181</v>
      </c>
      <c r="L2" s="102" t="s">
        <v>182</v>
      </c>
      <c r="M2" s="115" t="s">
        <v>183</v>
      </c>
      <c r="N2" s="119" t="s">
        <v>184</v>
      </c>
      <c r="O2" s="117" t="s">
        <v>186</v>
      </c>
      <c r="P2" s="118"/>
      <c r="Q2" s="118"/>
      <c r="R2" s="119" t="s">
        <v>187</v>
      </c>
      <c r="S2" s="120" t="s">
        <v>188</v>
      </c>
      <c r="T2" s="110" t="s">
        <v>189</v>
      </c>
      <c r="U2" s="120" t="s">
        <v>190</v>
      </c>
      <c r="V2" s="115" t="s">
        <v>191</v>
      </c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201" t="s">
        <v>192</v>
      </c>
      <c r="AI2" s="113" t="s">
        <v>56</v>
      </c>
      <c r="AJ2" s="102" t="s">
        <v>194</v>
      </c>
      <c r="AK2" s="117" t="s">
        <v>59</v>
      </c>
      <c r="AL2" s="102" t="s">
        <v>195</v>
      </c>
      <c r="AM2" s="102" t="s">
        <v>47</v>
      </c>
      <c r="AN2" s="102" t="s">
        <v>1147</v>
      </c>
      <c r="AO2" s="121" t="s">
        <v>205</v>
      </c>
      <c r="AP2" s="159" t="s">
        <v>206</v>
      </c>
      <c r="AQ2" s="202" t="s">
        <v>3202</v>
      </c>
      <c r="AR2" s="202" t="s">
        <v>3203</v>
      </c>
      <c r="AS2" s="202" t="s">
        <v>3204</v>
      </c>
      <c r="AT2" s="202" t="s">
        <v>3205</v>
      </c>
      <c r="AU2" s="202" t="s">
        <v>5508</v>
      </c>
      <c r="AV2" s="202" t="s">
        <v>5509</v>
      </c>
      <c r="AW2" s="202" t="s">
        <v>5510</v>
      </c>
      <c r="AX2" s="202" t="s">
        <v>5511</v>
      </c>
      <c r="AY2" s="202" t="s">
        <v>5512</v>
      </c>
      <c r="AZ2" s="202" t="s">
        <v>5513</v>
      </c>
      <c r="BA2" s="202" t="s">
        <v>5514</v>
      </c>
      <c r="BB2" s="202" t="s">
        <v>3209</v>
      </c>
      <c r="BC2" s="202" t="s">
        <v>3210</v>
      </c>
      <c r="BD2" s="202" t="s">
        <v>3211</v>
      </c>
      <c r="BE2" s="202" t="s">
        <v>3212</v>
      </c>
      <c r="BF2" s="202" t="s">
        <v>5515</v>
      </c>
      <c r="BG2" s="202" t="s">
        <v>5516</v>
      </c>
      <c r="BH2" s="202" t="s">
        <v>5517</v>
      </c>
      <c r="BI2" s="202" t="s">
        <v>5518</v>
      </c>
      <c r="BJ2" s="202" t="s">
        <v>5519</v>
      </c>
      <c r="BK2" s="202" t="s">
        <v>5520</v>
      </c>
      <c r="BL2" s="123"/>
      <c r="BM2" s="102" t="s">
        <v>235</v>
      </c>
      <c r="BO2" s="102" t="s">
        <v>108</v>
      </c>
      <c r="BP2" s="102" t="s">
        <v>236</v>
      </c>
      <c r="BQ2" s="203"/>
      <c r="BR2" s="203"/>
      <c r="BS2" s="203"/>
    </row>
    <row r="3" s="102" customFormat="1" customHeight="1" spans="1:71">
      <c r="A3" s="110"/>
      <c r="C3" s="113"/>
      <c r="E3" s="102" t="s">
        <v>1176</v>
      </c>
      <c r="J3" s="117"/>
      <c r="M3" s="115"/>
      <c r="N3" s="119"/>
      <c r="O3" s="117" t="s">
        <v>238</v>
      </c>
      <c r="P3" s="118" t="s">
        <v>1177</v>
      </c>
      <c r="Q3" s="118" t="s">
        <v>1178</v>
      </c>
      <c r="R3" s="115"/>
      <c r="S3" s="120"/>
      <c r="T3" s="110"/>
      <c r="U3" s="120"/>
      <c r="V3" s="115" t="s">
        <v>240</v>
      </c>
      <c r="W3" s="102" t="s">
        <v>241</v>
      </c>
      <c r="X3" s="115" t="s">
        <v>242</v>
      </c>
      <c r="Y3" s="124" t="s">
        <v>241</v>
      </c>
      <c r="Z3" s="102" t="s">
        <v>243</v>
      </c>
      <c r="AA3" s="117" t="s">
        <v>241</v>
      </c>
      <c r="AB3" s="115" t="s">
        <v>244</v>
      </c>
      <c r="AC3" s="102" t="s">
        <v>241</v>
      </c>
      <c r="AD3" s="102" t="s">
        <v>245</v>
      </c>
      <c r="AE3" s="102" t="s">
        <v>241</v>
      </c>
      <c r="AF3" s="102" t="s">
        <v>246</v>
      </c>
      <c r="AG3" s="102" t="s">
        <v>241</v>
      </c>
      <c r="AH3" s="201"/>
      <c r="AK3" s="117"/>
      <c r="AO3" s="121"/>
      <c r="AP3" s="159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123"/>
      <c r="BQ3" s="203"/>
      <c r="BR3" s="203"/>
      <c r="BS3" s="203"/>
    </row>
    <row r="4" s="102" customFormat="1" hidden="1" customHeight="1" spans="1:71">
      <c r="A4" s="110"/>
      <c r="C4" s="113"/>
      <c r="I4" s="204" t="s">
        <v>5521</v>
      </c>
      <c r="J4" s="205">
        <v>30.45</v>
      </c>
      <c r="L4" s="102">
        <v>2200</v>
      </c>
      <c r="N4" s="115">
        <v>66990</v>
      </c>
      <c r="O4" s="117"/>
      <c r="P4" s="118"/>
      <c r="Q4" s="118"/>
      <c r="R4" s="115"/>
      <c r="S4" s="120"/>
      <c r="T4" s="110"/>
      <c r="U4" s="120"/>
      <c r="V4" s="115"/>
      <c r="X4" s="115"/>
      <c r="Y4" s="124"/>
      <c r="AA4" s="117"/>
      <c r="AB4" s="115"/>
      <c r="AH4" s="206">
        <f t="shared" ref="AH4:AH24" si="0">V4+X4+Z4+AB4+AD4+AF4</f>
        <v>0</v>
      </c>
      <c r="AK4" s="171">
        <f t="shared" ref="AK4:AK23" si="1">M4-AH4</f>
        <v>0</v>
      </c>
      <c r="AO4" s="125">
        <f t="shared" ref="AO4:AO35" si="2">SUM(AQ4:BK4)</f>
        <v>0</v>
      </c>
      <c r="AP4" s="207"/>
      <c r="AQ4" s="208"/>
      <c r="AR4" s="208"/>
      <c r="AS4" s="208"/>
      <c r="AT4" s="208"/>
      <c r="AU4" s="208"/>
      <c r="AV4" s="208"/>
      <c r="AW4" s="208"/>
      <c r="AX4" s="208"/>
      <c r="AY4" s="208"/>
      <c r="AZ4" s="208"/>
      <c r="BA4" s="208"/>
      <c r="BB4" s="208"/>
      <c r="BC4" s="208"/>
      <c r="BD4" s="208"/>
      <c r="BE4" s="208"/>
      <c r="BF4" s="208"/>
      <c r="BG4" s="208"/>
      <c r="BH4" s="208"/>
      <c r="BI4" s="208"/>
      <c r="BJ4" s="208"/>
      <c r="BK4" s="208"/>
    </row>
    <row r="5" s="102" customFormat="1" hidden="1" customHeight="1" spans="1:71">
      <c r="A5" s="110"/>
      <c r="C5" s="113"/>
      <c r="H5" s="102" t="s">
        <v>5522</v>
      </c>
      <c r="I5" s="204" t="s">
        <v>5523</v>
      </c>
      <c r="J5" s="205">
        <v>17.74</v>
      </c>
      <c r="N5" s="115"/>
      <c r="O5" s="117"/>
      <c r="P5" s="118"/>
      <c r="Q5" s="118"/>
      <c r="R5" s="115"/>
      <c r="S5" s="120"/>
      <c r="T5" s="110"/>
      <c r="U5" s="120"/>
      <c r="V5" s="115"/>
      <c r="X5" s="115"/>
      <c r="Y5" s="124"/>
      <c r="AA5" s="117"/>
      <c r="AB5" s="115"/>
      <c r="AH5" s="206">
        <f t="shared" si="0"/>
        <v>0</v>
      </c>
      <c r="AK5" s="171">
        <f t="shared" si="1"/>
        <v>0</v>
      </c>
      <c r="AO5" s="125">
        <f t="shared" si="2"/>
        <v>0</v>
      </c>
      <c r="AP5" s="207"/>
      <c r="AQ5" s="208"/>
      <c r="AR5" s="208"/>
      <c r="AS5" s="208"/>
      <c r="AT5" s="208"/>
      <c r="AU5" s="208"/>
      <c r="AV5" s="208"/>
      <c r="AW5" s="208"/>
      <c r="AX5" s="208"/>
      <c r="AY5" s="208"/>
      <c r="AZ5" s="208"/>
      <c r="BA5" s="208"/>
      <c r="BB5" s="208"/>
      <c r="BC5" s="208"/>
      <c r="BD5" s="208"/>
      <c r="BE5" s="208"/>
      <c r="BF5" s="208"/>
      <c r="BG5" s="208"/>
      <c r="BH5" s="208"/>
      <c r="BI5" s="208"/>
      <c r="BJ5" s="208"/>
      <c r="BK5" s="208"/>
    </row>
    <row r="6" s="102" customFormat="1" hidden="1" customHeight="1" spans="1:71">
      <c r="A6" s="110"/>
      <c r="C6" s="113"/>
      <c r="G6" s="102" t="s">
        <v>5524</v>
      </c>
      <c r="I6" s="204" t="s">
        <v>5525</v>
      </c>
      <c r="J6" s="205">
        <v>11.53</v>
      </c>
      <c r="L6" s="102">
        <v>2200</v>
      </c>
      <c r="M6" s="102">
        <v>25366</v>
      </c>
      <c r="N6" s="115">
        <v>25366</v>
      </c>
      <c r="O6" s="117"/>
      <c r="P6" s="118"/>
      <c r="Q6" s="118"/>
      <c r="R6" s="115"/>
      <c r="S6" s="120"/>
      <c r="T6" s="110"/>
      <c r="U6" s="120"/>
      <c r="V6" s="115"/>
      <c r="W6" s="120"/>
      <c r="X6" s="115"/>
      <c r="Y6" s="124"/>
      <c r="AA6" s="117"/>
      <c r="AB6" s="115"/>
      <c r="AH6" s="206">
        <f t="shared" si="0"/>
        <v>0</v>
      </c>
      <c r="AK6" s="171">
        <f t="shared" si="1"/>
        <v>25366</v>
      </c>
      <c r="AO6" s="125">
        <f t="shared" si="2"/>
        <v>25366</v>
      </c>
      <c r="AP6" s="209">
        <v>0.02</v>
      </c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6">
        <v>25366</v>
      </c>
      <c r="BH6" s="206"/>
      <c r="BI6" s="206"/>
      <c r="BJ6" s="206"/>
      <c r="BK6" s="206"/>
    </row>
    <row r="7" s="102" customFormat="1" hidden="1" customHeight="1" spans="1:71">
      <c r="A7" s="110"/>
      <c r="C7" s="113"/>
      <c r="G7" s="102" t="s">
        <v>5526</v>
      </c>
      <c r="I7" s="204" t="s">
        <v>5527</v>
      </c>
      <c r="J7" s="205">
        <v>19.52</v>
      </c>
      <c r="L7" s="102">
        <v>2200</v>
      </c>
      <c r="M7" s="102">
        <v>42944</v>
      </c>
      <c r="N7" s="115">
        <v>42944</v>
      </c>
      <c r="O7" s="117"/>
      <c r="P7" s="118"/>
      <c r="Q7" s="118"/>
      <c r="R7" s="115"/>
      <c r="S7" s="120"/>
      <c r="T7" s="110"/>
      <c r="U7" s="120"/>
      <c r="V7" s="115">
        <v>42944</v>
      </c>
      <c r="W7" s="120">
        <v>45904</v>
      </c>
      <c r="X7" s="115"/>
      <c r="Y7" s="124"/>
      <c r="AA7" s="117"/>
      <c r="AB7" s="115"/>
      <c r="AH7" s="206">
        <f t="shared" si="0"/>
        <v>42944</v>
      </c>
      <c r="AK7" s="171">
        <f t="shared" si="1"/>
        <v>0</v>
      </c>
      <c r="AO7" s="125">
        <f t="shared" si="2"/>
        <v>42944</v>
      </c>
      <c r="AP7" s="209">
        <v>0.02</v>
      </c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6">
        <v>42944</v>
      </c>
      <c r="BH7" s="206"/>
      <c r="BI7" s="206"/>
      <c r="BJ7" s="206"/>
      <c r="BK7" s="206"/>
    </row>
    <row r="8" s="102" customFormat="1" hidden="1" customHeight="1" spans="1:71">
      <c r="A8" s="110"/>
      <c r="C8" s="113"/>
      <c r="I8" s="204" t="s">
        <v>5528</v>
      </c>
      <c r="J8" s="205">
        <v>71.65</v>
      </c>
      <c r="N8" s="115"/>
      <c r="O8" s="117"/>
      <c r="P8" s="118"/>
      <c r="Q8" s="118"/>
      <c r="R8" s="115"/>
      <c r="S8" s="120"/>
      <c r="T8" s="110"/>
      <c r="U8" s="120"/>
      <c r="V8" s="115"/>
      <c r="X8" s="115"/>
      <c r="Y8" s="124"/>
      <c r="AA8" s="117"/>
      <c r="AB8" s="115"/>
      <c r="AH8" s="206">
        <f t="shared" si="0"/>
        <v>0</v>
      </c>
      <c r="AK8" s="171">
        <f t="shared" si="1"/>
        <v>0</v>
      </c>
      <c r="AO8" s="125">
        <f t="shared" si="2"/>
        <v>48158</v>
      </c>
      <c r="AP8" s="207"/>
      <c r="AQ8" s="208"/>
      <c r="AR8" s="208"/>
      <c r="AS8" s="208"/>
      <c r="AT8" s="208"/>
      <c r="AU8" s="208"/>
      <c r="AV8" s="208"/>
      <c r="AW8" s="208"/>
      <c r="AX8" s="208"/>
      <c r="AY8" s="208"/>
      <c r="AZ8" s="208"/>
      <c r="BA8" s="208"/>
      <c r="BB8" s="208"/>
      <c r="BC8" s="208"/>
      <c r="BD8" s="208"/>
      <c r="BE8" s="208"/>
      <c r="BF8" s="208"/>
      <c r="BG8" s="206">
        <v>48158</v>
      </c>
      <c r="BH8" s="206"/>
      <c r="BI8" s="206"/>
      <c r="BJ8" s="206"/>
      <c r="BK8" s="206"/>
    </row>
    <row r="9" s="102" customFormat="1" hidden="1" customHeight="1" spans="1:71">
      <c r="A9" s="110"/>
      <c r="C9" s="113"/>
      <c r="I9" s="204" t="s">
        <v>5529</v>
      </c>
      <c r="J9" s="205">
        <v>68.35</v>
      </c>
      <c r="N9" s="115"/>
      <c r="O9" s="117"/>
      <c r="P9" s="118"/>
      <c r="Q9" s="118"/>
      <c r="R9" s="115"/>
      <c r="S9" s="120"/>
      <c r="T9" s="110"/>
      <c r="U9" s="120"/>
      <c r="V9" s="115"/>
      <c r="X9" s="115"/>
      <c r="Y9" s="124"/>
      <c r="AA9" s="117"/>
      <c r="AB9" s="115"/>
      <c r="AH9" s="206">
        <f t="shared" si="0"/>
        <v>0</v>
      </c>
      <c r="AK9" s="171">
        <f t="shared" si="1"/>
        <v>0</v>
      </c>
      <c r="AO9" s="125">
        <f t="shared" si="2"/>
        <v>23848</v>
      </c>
      <c r="AP9" s="207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6">
        <v>23848</v>
      </c>
      <c r="BH9" s="206"/>
      <c r="BI9" s="206"/>
      <c r="BJ9" s="206"/>
      <c r="BK9" s="206"/>
    </row>
    <row r="10" s="102" customFormat="1" hidden="1" customHeight="1" spans="1:71">
      <c r="A10" s="110"/>
      <c r="C10" s="113"/>
      <c r="G10" s="102" t="s">
        <v>5530</v>
      </c>
      <c r="I10" s="204" t="s">
        <v>5531</v>
      </c>
      <c r="J10" s="205">
        <v>21.89</v>
      </c>
      <c r="L10" s="102">
        <v>2200</v>
      </c>
      <c r="M10" s="102">
        <v>48158</v>
      </c>
      <c r="N10" s="115">
        <v>48158</v>
      </c>
      <c r="O10" s="117"/>
      <c r="P10" s="118"/>
      <c r="Q10" s="118"/>
      <c r="R10" s="115"/>
      <c r="S10" s="120"/>
      <c r="T10" s="110"/>
      <c r="U10" s="120"/>
      <c r="V10" s="115">
        <v>48158</v>
      </c>
      <c r="W10" s="120">
        <v>45903</v>
      </c>
      <c r="X10" s="115"/>
      <c r="Y10" s="124"/>
      <c r="AA10" s="117"/>
      <c r="AB10" s="115"/>
      <c r="AH10" s="206">
        <f t="shared" si="0"/>
        <v>48158</v>
      </c>
      <c r="AK10" s="171">
        <f t="shared" si="1"/>
        <v>0</v>
      </c>
      <c r="AO10" s="125">
        <f t="shared" si="2"/>
        <v>48158</v>
      </c>
      <c r="AP10" s="209">
        <v>0.02</v>
      </c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6">
        <v>48158</v>
      </c>
      <c r="BH10" s="206"/>
      <c r="BI10" s="206"/>
      <c r="BJ10" s="206"/>
      <c r="BK10" s="206"/>
    </row>
    <row r="11" s="102" customFormat="1" hidden="1" customHeight="1" spans="1:71">
      <c r="A11" s="110"/>
      <c r="C11" s="113"/>
      <c r="G11" s="102" t="s">
        <v>5532</v>
      </c>
      <c r="I11" s="204" t="s">
        <v>5533</v>
      </c>
      <c r="J11" s="205">
        <v>10.84</v>
      </c>
      <c r="L11" s="102">
        <v>2200</v>
      </c>
      <c r="M11" s="102">
        <v>23848</v>
      </c>
      <c r="N11" s="115">
        <v>23848</v>
      </c>
      <c r="O11" s="117"/>
      <c r="P11" s="118"/>
      <c r="Q11" s="118"/>
      <c r="R11" s="115"/>
      <c r="S11" s="120"/>
      <c r="T11" s="110"/>
      <c r="U11" s="120"/>
      <c r="V11" s="115">
        <v>23848</v>
      </c>
      <c r="W11" s="120">
        <v>45903</v>
      </c>
      <c r="X11" s="115"/>
      <c r="Y11" s="124"/>
      <c r="AA11" s="117"/>
      <c r="AB11" s="115"/>
      <c r="AH11" s="206">
        <f t="shared" si="0"/>
        <v>23848</v>
      </c>
      <c r="AK11" s="171">
        <f t="shared" si="1"/>
        <v>0</v>
      </c>
      <c r="AO11" s="125">
        <f t="shared" si="2"/>
        <v>23848</v>
      </c>
      <c r="AP11" s="209">
        <v>0.02</v>
      </c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06">
        <v>23848</v>
      </c>
      <c r="BH11" s="206"/>
      <c r="BI11" s="206"/>
      <c r="BJ11" s="206"/>
      <c r="BK11" s="206"/>
    </row>
    <row r="12" s="102" customFormat="1" hidden="1" customHeight="1" spans="1:71">
      <c r="A12" s="110"/>
      <c r="C12" s="113"/>
      <c r="G12" s="102" t="s">
        <v>1988</v>
      </c>
      <c r="I12" s="204" t="s">
        <v>5534</v>
      </c>
      <c r="J12" s="205">
        <v>11.24</v>
      </c>
      <c r="L12" s="102">
        <v>2200</v>
      </c>
      <c r="M12" s="102">
        <v>24728</v>
      </c>
      <c r="N12" s="115">
        <v>24728</v>
      </c>
      <c r="O12" s="117"/>
      <c r="P12" s="118"/>
      <c r="Q12" s="118"/>
      <c r="R12" s="115"/>
      <c r="S12" s="120"/>
      <c r="T12" s="110"/>
      <c r="U12" s="120"/>
      <c r="V12" s="115">
        <v>24728</v>
      </c>
      <c r="W12" s="120">
        <v>45907</v>
      </c>
      <c r="X12" s="115"/>
      <c r="Y12" s="124"/>
      <c r="AA12" s="117"/>
      <c r="AB12" s="115"/>
      <c r="AH12" s="206">
        <f t="shared" si="0"/>
        <v>24728</v>
      </c>
      <c r="AK12" s="171">
        <f t="shared" si="1"/>
        <v>0</v>
      </c>
      <c r="AO12" s="125">
        <f t="shared" si="2"/>
        <v>24728</v>
      </c>
      <c r="AP12" s="209">
        <v>0.02</v>
      </c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6">
        <v>24728</v>
      </c>
      <c r="BH12" s="206"/>
      <c r="BI12" s="206"/>
      <c r="BJ12" s="206"/>
      <c r="BK12" s="206"/>
    </row>
    <row r="13" s="102" customFormat="1" hidden="1" customHeight="1" spans="1:71">
      <c r="A13" s="110"/>
      <c r="C13" s="113"/>
      <c r="G13" s="102" t="s">
        <v>5535</v>
      </c>
      <c r="I13" s="204" t="s">
        <v>5536</v>
      </c>
      <c r="J13" s="205">
        <v>27.78</v>
      </c>
      <c r="L13" s="102">
        <v>2200</v>
      </c>
      <c r="M13" s="102">
        <v>61116</v>
      </c>
      <c r="N13" s="115">
        <v>61116</v>
      </c>
      <c r="O13" s="117"/>
      <c r="P13" s="118"/>
      <c r="Q13" s="118"/>
      <c r="R13" s="115"/>
      <c r="S13" s="120"/>
      <c r="T13" s="110"/>
      <c r="U13" s="120"/>
      <c r="V13" s="115">
        <v>61116</v>
      </c>
      <c r="W13" s="120">
        <v>45903</v>
      </c>
      <c r="X13" s="115"/>
      <c r="Y13" s="124"/>
      <c r="AA13" s="117"/>
      <c r="AB13" s="115"/>
      <c r="AH13" s="206">
        <f t="shared" si="0"/>
        <v>61116</v>
      </c>
      <c r="AK13" s="171">
        <f t="shared" si="1"/>
        <v>0</v>
      </c>
      <c r="AO13" s="125">
        <f t="shared" si="2"/>
        <v>61116</v>
      </c>
      <c r="AP13" s="209">
        <v>0.02</v>
      </c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6">
        <v>61116</v>
      </c>
      <c r="BH13" s="206"/>
      <c r="BI13" s="206"/>
      <c r="BJ13" s="206"/>
      <c r="BK13" s="206"/>
    </row>
    <row r="14" s="102" customFormat="1" hidden="1" customHeight="1" spans="1:71">
      <c r="A14" s="110"/>
      <c r="C14" s="113"/>
      <c r="G14" s="102" t="s">
        <v>5537</v>
      </c>
      <c r="I14" s="204" t="s">
        <v>5538</v>
      </c>
      <c r="J14" s="205">
        <v>36.68</v>
      </c>
      <c r="L14" s="102">
        <v>2200</v>
      </c>
      <c r="M14" s="102">
        <v>80696</v>
      </c>
      <c r="N14" s="115">
        <v>80696</v>
      </c>
      <c r="O14" s="117"/>
      <c r="P14" s="118"/>
      <c r="Q14" s="118"/>
      <c r="R14" s="115"/>
      <c r="S14" s="120"/>
      <c r="T14" s="110"/>
      <c r="U14" s="120"/>
      <c r="V14" s="115">
        <v>80696</v>
      </c>
      <c r="W14" s="120">
        <v>45902</v>
      </c>
      <c r="X14" s="115"/>
      <c r="Y14" s="124"/>
      <c r="AA14" s="117"/>
      <c r="AB14" s="115"/>
      <c r="AH14" s="206">
        <f t="shared" si="0"/>
        <v>80696</v>
      </c>
      <c r="AK14" s="171">
        <f t="shared" si="1"/>
        <v>0</v>
      </c>
      <c r="AO14" s="125">
        <f t="shared" si="2"/>
        <v>80696</v>
      </c>
      <c r="AP14" s="209">
        <v>0.02</v>
      </c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08"/>
      <c r="BF14" s="208"/>
      <c r="BG14" s="206">
        <v>80696</v>
      </c>
      <c r="BH14" s="206"/>
      <c r="BI14" s="206"/>
      <c r="BJ14" s="206"/>
      <c r="BK14" s="206"/>
    </row>
    <row r="15" s="102" customFormat="1" hidden="1" customHeight="1" spans="1:71">
      <c r="A15" s="110"/>
      <c r="C15" s="113"/>
      <c r="I15" s="204" t="s">
        <v>5539</v>
      </c>
      <c r="J15" s="205">
        <v>63.71</v>
      </c>
      <c r="N15" s="115"/>
      <c r="O15" s="117"/>
      <c r="P15" s="118"/>
      <c r="Q15" s="118"/>
      <c r="R15" s="115"/>
      <c r="S15" s="120"/>
      <c r="T15" s="110"/>
      <c r="U15" s="120"/>
      <c r="V15" s="115"/>
      <c r="X15" s="115"/>
      <c r="Y15" s="124"/>
      <c r="AA15" s="117"/>
      <c r="AB15" s="115"/>
      <c r="AH15" s="206">
        <f t="shared" si="0"/>
        <v>0</v>
      </c>
      <c r="AK15" s="171">
        <f t="shared" si="1"/>
        <v>0</v>
      </c>
      <c r="AO15" s="125">
        <f t="shared" si="2"/>
        <v>0</v>
      </c>
      <c r="AP15" s="207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</row>
    <row r="16" s="102" customFormat="1" hidden="1" customHeight="1" spans="1:71">
      <c r="A16" s="110"/>
      <c r="C16" s="113"/>
      <c r="I16" s="204" t="s">
        <v>5540</v>
      </c>
      <c r="J16" s="205">
        <v>63.71</v>
      </c>
      <c r="N16" s="115"/>
      <c r="O16" s="117"/>
      <c r="P16" s="118"/>
      <c r="Q16" s="118"/>
      <c r="R16" s="115"/>
      <c r="S16" s="120"/>
      <c r="T16" s="110"/>
      <c r="U16" s="120"/>
      <c r="V16" s="115"/>
      <c r="X16" s="115"/>
      <c r="Y16" s="124"/>
      <c r="AA16" s="117"/>
      <c r="AB16" s="115"/>
      <c r="AH16" s="206">
        <f t="shared" si="0"/>
        <v>0</v>
      </c>
      <c r="AK16" s="171">
        <f t="shared" si="1"/>
        <v>0</v>
      </c>
      <c r="AO16" s="125">
        <f t="shared" si="2"/>
        <v>0</v>
      </c>
      <c r="AP16" s="207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</row>
    <row r="17" s="102" customFormat="1" hidden="1" customHeight="1" spans="1:69">
      <c r="A17" s="110"/>
      <c r="C17" s="113"/>
      <c r="I17" s="204" t="s">
        <v>5541</v>
      </c>
      <c r="J17" s="205">
        <v>63.71</v>
      </c>
      <c r="N17" s="115"/>
      <c r="O17" s="117"/>
      <c r="P17" s="118"/>
      <c r="Q17" s="118"/>
      <c r="R17" s="115"/>
      <c r="S17" s="120"/>
      <c r="T17" s="110"/>
      <c r="U17" s="120"/>
      <c r="V17" s="115"/>
      <c r="X17" s="115"/>
      <c r="Y17" s="124"/>
      <c r="AA17" s="117"/>
      <c r="AB17" s="115"/>
      <c r="AH17" s="206">
        <f t="shared" si="0"/>
        <v>0</v>
      </c>
      <c r="AK17" s="171">
        <f t="shared" si="1"/>
        <v>0</v>
      </c>
      <c r="AO17" s="125">
        <f t="shared" si="2"/>
        <v>0</v>
      </c>
      <c r="AP17" s="207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</row>
    <row r="18" s="102" customFormat="1" hidden="1" customHeight="1" spans="1:69">
      <c r="A18" s="110"/>
      <c r="C18" s="113"/>
      <c r="I18" s="204" t="s">
        <v>5542</v>
      </c>
      <c r="J18" s="205">
        <v>63.97</v>
      </c>
      <c r="N18" s="115"/>
      <c r="O18" s="117"/>
      <c r="P18" s="118"/>
      <c r="Q18" s="118"/>
      <c r="R18" s="115"/>
      <c r="S18" s="120"/>
      <c r="T18" s="110"/>
      <c r="U18" s="120"/>
      <c r="V18" s="115"/>
      <c r="X18" s="115"/>
      <c r="Y18" s="124"/>
      <c r="AA18" s="117"/>
      <c r="AB18" s="115"/>
      <c r="AH18" s="206">
        <f t="shared" si="0"/>
        <v>0</v>
      </c>
      <c r="AK18" s="171">
        <f t="shared" si="1"/>
        <v>0</v>
      </c>
      <c r="AO18" s="125">
        <f t="shared" si="2"/>
        <v>0</v>
      </c>
      <c r="AP18" s="207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</row>
    <row r="19" s="102" customFormat="1" hidden="1" customHeight="1" spans="1:69">
      <c r="A19" s="110"/>
      <c r="C19" s="113"/>
      <c r="I19" s="204" t="s">
        <v>5543</v>
      </c>
      <c r="J19" s="205">
        <v>36.68</v>
      </c>
      <c r="L19" s="102">
        <v>2200</v>
      </c>
      <c r="N19" s="115">
        <v>80696</v>
      </c>
      <c r="O19" s="117"/>
      <c r="P19" s="118"/>
      <c r="Q19" s="118"/>
      <c r="R19" s="115"/>
      <c r="S19" s="120"/>
      <c r="T19" s="110"/>
      <c r="U19" s="120"/>
      <c r="V19" s="115"/>
      <c r="X19" s="115"/>
      <c r="Y19" s="124"/>
      <c r="AA19" s="117"/>
      <c r="AB19" s="115"/>
      <c r="AH19" s="206">
        <f t="shared" si="0"/>
        <v>0</v>
      </c>
      <c r="AK19" s="171">
        <f t="shared" si="1"/>
        <v>0</v>
      </c>
      <c r="AO19" s="125">
        <f t="shared" si="2"/>
        <v>0</v>
      </c>
      <c r="AP19" s="207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</row>
    <row r="20" s="102" customFormat="1" hidden="1" customHeight="1" spans="1:69">
      <c r="A20" s="110"/>
      <c r="C20" s="113"/>
      <c r="G20" s="102" t="s">
        <v>5544</v>
      </c>
      <c r="I20" s="204" t="s">
        <v>5545</v>
      </c>
      <c r="J20" s="205">
        <v>26.83</v>
      </c>
      <c r="L20" s="102">
        <v>2200</v>
      </c>
      <c r="M20" s="102">
        <v>59026</v>
      </c>
      <c r="N20" s="115">
        <v>59026</v>
      </c>
      <c r="O20" s="117"/>
      <c r="P20" s="118"/>
      <c r="Q20" s="118"/>
      <c r="R20" s="115"/>
      <c r="S20" s="120"/>
      <c r="T20" s="110"/>
      <c r="U20" s="120"/>
      <c r="V20" s="115">
        <v>59026</v>
      </c>
      <c r="W20" s="120">
        <v>45911</v>
      </c>
      <c r="X20" s="115"/>
      <c r="Y20" s="124"/>
      <c r="AA20" s="117"/>
      <c r="AB20" s="115"/>
      <c r="AH20" s="206">
        <f t="shared" si="0"/>
        <v>59026</v>
      </c>
      <c r="AK20" s="171">
        <f t="shared" si="1"/>
        <v>0</v>
      </c>
      <c r="AO20" s="125">
        <f t="shared" si="2"/>
        <v>59026</v>
      </c>
      <c r="AP20" s="209">
        <v>0.02</v>
      </c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>
        <v>59026</v>
      </c>
      <c r="BH20" s="208"/>
      <c r="BI20" s="208"/>
      <c r="BJ20" s="208"/>
      <c r="BK20" s="208"/>
    </row>
    <row r="21" s="102" customFormat="1" hidden="1" customHeight="1" spans="1:69">
      <c r="A21" s="110"/>
      <c r="C21" s="113"/>
      <c r="I21" s="204" t="s">
        <v>5546</v>
      </c>
      <c r="J21" s="205">
        <v>37.95</v>
      </c>
      <c r="N21" s="115"/>
      <c r="O21" s="117"/>
      <c r="P21" s="118"/>
      <c r="Q21" s="118"/>
      <c r="R21" s="115"/>
      <c r="S21" s="120"/>
      <c r="T21" s="110"/>
      <c r="U21" s="120"/>
      <c r="V21" s="115"/>
      <c r="X21" s="115"/>
      <c r="Y21" s="124"/>
      <c r="AA21" s="117"/>
      <c r="AB21" s="115"/>
      <c r="AH21" s="206">
        <f t="shared" si="0"/>
        <v>0</v>
      </c>
      <c r="AK21" s="171">
        <f t="shared" si="1"/>
        <v>0</v>
      </c>
      <c r="AO21" s="125">
        <f t="shared" si="2"/>
        <v>51810</v>
      </c>
      <c r="AP21" s="207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>
        <v>51810</v>
      </c>
      <c r="BH21" s="208"/>
      <c r="BI21" s="208"/>
      <c r="BJ21" s="208"/>
      <c r="BK21" s="208"/>
    </row>
    <row r="22" s="102" customFormat="1" hidden="1" customHeight="1" spans="1:69">
      <c r="A22" s="110"/>
      <c r="C22" s="113"/>
      <c r="I22" s="204" t="s">
        <v>5547</v>
      </c>
      <c r="J22" s="205">
        <v>37.95</v>
      </c>
      <c r="L22" s="102">
        <v>2200</v>
      </c>
      <c r="N22" s="115">
        <v>83490</v>
      </c>
      <c r="O22" s="117"/>
      <c r="P22" s="118"/>
      <c r="Q22" s="118"/>
      <c r="R22" s="115"/>
      <c r="S22" s="120"/>
      <c r="T22" s="110"/>
      <c r="U22" s="120"/>
      <c r="V22" s="115"/>
      <c r="X22" s="115"/>
      <c r="Y22" s="124"/>
      <c r="AA22" s="117"/>
      <c r="AB22" s="115"/>
      <c r="AH22" s="206">
        <f t="shared" si="0"/>
        <v>0</v>
      </c>
      <c r="AK22" s="171">
        <f t="shared" si="1"/>
        <v>0</v>
      </c>
      <c r="AO22" s="125">
        <f t="shared" si="2"/>
        <v>0</v>
      </c>
      <c r="AP22" s="207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</row>
    <row r="23" s="102" customFormat="1" hidden="1" customHeight="1" spans="1:69">
      <c r="A23" s="110"/>
      <c r="C23" s="113"/>
      <c r="G23" s="102" t="s">
        <v>5548</v>
      </c>
      <c r="I23" s="204" t="s">
        <v>5549</v>
      </c>
      <c r="J23" s="205">
        <v>23.55</v>
      </c>
      <c r="L23" s="102">
        <v>2200</v>
      </c>
      <c r="M23" s="102">
        <v>51810</v>
      </c>
      <c r="N23" s="115">
        <v>51810</v>
      </c>
      <c r="O23" s="117"/>
      <c r="P23" s="118"/>
      <c r="Q23" s="118"/>
      <c r="R23" s="115"/>
      <c r="S23" s="120"/>
      <c r="T23" s="110"/>
      <c r="U23" s="120"/>
      <c r="V23" s="115">
        <v>51810</v>
      </c>
      <c r="W23" s="120">
        <v>45906</v>
      </c>
      <c r="X23" s="115"/>
      <c r="Y23" s="124"/>
      <c r="AA23" s="117"/>
      <c r="AB23" s="115"/>
      <c r="AH23" s="206">
        <f t="shared" si="0"/>
        <v>51810</v>
      </c>
      <c r="AK23" s="171">
        <f t="shared" si="1"/>
        <v>0</v>
      </c>
      <c r="AO23" s="125">
        <f t="shared" si="2"/>
        <v>51810</v>
      </c>
      <c r="AP23" s="209">
        <v>0.02</v>
      </c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>
        <v>51810</v>
      </c>
      <c r="BH23" s="208"/>
      <c r="BI23" s="208"/>
      <c r="BJ23" s="208"/>
      <c r="BK23" s="208"/>
    </row>
    <row r="24" s="125" customFormat="1" ht="35" hidden="1" customHeight="1" spans="1:69">
      <c r="A24" s="125">
        <v>1</v>
      </c>
      <c r="C24" s="210">
        <v>45434</v>
      </c>
      <c r="D24" s="125">
        <v>20240003043</v>
      </c>
      <c r="F24" s="175" t="s">
        <v>5550</v>
      </c>
      <c r="G24" s="175" t="s">
        <v>5551</v>
      </c>
      <c r="H24" s="1037" t="s">
        <v>5552</v>
      </c>
      <c r="I24" s="211" t="s">
        <v>5553</v>
      </c>
      <c r="J24" s="212">
        <v>150.19</v>
      </c>
      <c r="K24" s="125">
        <v>150.19</v>
      </c>
      <c r="L24" s="125">
        <v>8200</v>
      </c>
      <c r="M24" s="213">
        <f>L24*K24</f>
        <v>1231558</v>
      </c>
      <c r="N24" s="125">
        <v>8200</v>
      </c>
      <c r="O24" s="125">
        <v>1129869.72</v>
      </c>
      <c r="P24" s="1037" t="s">
        <v>5554</v>
      </c>
      <c r="Q24" s="168">
        <v>45951</v>
      </c>
      <c r="U24" s="125" t="s">
        <v>277</v>
      </c>
      <c r="V24" s="125">
        <v>20000</v>
      </c>
      <c r="W24" s="125" t="s">
        <v>745</v>
      </c>
      <c r="X24" s="125">
        <v>351558</v>
      </c>
      <c r="Y24" s="125" t="s">
        <v>439</v>
      </c>
      <c r="Z24" s="125">
        <v>860000</v>
      </c>
      <c r="AA24" s="125" t="s">
        <v>427</v>
      </c>
      <c r="AB24" s="125"/>
      <c r="AC24" s="125"/>
      <c r="AH24" s="206">
        <f t="shared" si="0"/>
        <v>1231558</v>
      </c>
      <c r="AK24" s="171">
        <f t="shared" ref="AK24:AK31" si="3">M24-AH24</f>
        <v>0</v>
      </c>
      <c r="AL24" s="125">
        <v>15199933931</v>
      </c>
      <c r="AO24" s="125">
        <f t="shared" si="2"/>
        <v>1231558</v>
      </c>
      <c r="AP24" s="169">
        <f>0.7%+0.03%+0.08%</f>
        <v>0.0081</v>
      </c>
      <c r="AR24" s="125">
        <v>1231558</v>
      </c>
      <c r="BO24" s="125" t="s">
        <v>260</v>
      </c>
      <c r="BP24" s="125" t="s">
        <v>271</v>
      </c>
      <c r="BQ24" s="125" t="s">
        <v>261</v>
      </c>
    </row>
    <row r="25" s="125" customFormat="1" hidden="1" customHeight="1" spans="1:69">
      <c r="A25" s="125">
        <v>2</v>
      </c>
      <c r="C25" s="210">
        <v>45516</v>
      </c>
      <c r="D25" s="125">
        <v>20240004628</v>
      </c>
      <c r="F25" s="1037" t="s">
        <v>5555</v>
      </c>
      <c r="G25" s="125" t="s">
        <v>5530</v>
      </c>
      <c r="H25" s="1037" t="s">
        <v>5556</v>
      </c>
      <c r="I25" s="211" t="s">
        <v>5557</v>
      </c>
      <c r="J25" s="212">
        <v>122.87</v>
      </c>
      <c r="K25" s="125">
        <v>122.87</v>
      </c>
      <c r="L25" s="125">
        <f>M25/K25</f>
        <v>7894.5226662326</v>
      </c>
      <c r="M25" s="125">
        <v>970000</v>
      </c>
      <c r="N25" s="125">
        <v>7894.52</v>
      </c>
      <c r="O25" s="125">
        <v>889908.26</v>
      </c>
      <c r="P25" s="1037" t="s">
        <v>5558</v>
      </c>
      <c r="Q25" s="168">
        <v>45951</v>
      </c>
      <c r="U25" s="125" t="s">
        <v>561</v>
      </c>
      <c r="V25" s="125">
        <v>20000</v>
      </c>
      <c r="W25" s="125" t="s">
        <v>5559</v>
      </c>
      <c r="X25" s="125">
        <v>250000</v>
      </c>
      <c r="Y25" s="125" t="s">
        <v>4540</v>
      </c>
      <c r="Z25" s="125">
        <v>700000</v>
      </c>
      <c r="AA25" s="125" t="s">
        <v>4241</v>
      </c>
      <c r="AH25" s="206">
        <f t="shared" ref="AH25:AH41" si="4">V25+X25+Z25+AB25+AD25+AF25</f>
        <v>970000</v>
      </c>
      <c r="AK25" s="171">
        <f t="shared" si="3"/>
        <v>0</v>
      </c>
      <c r="AL25" s="125">
        <v>15599750213</v>
      </c>
      <c r="AM25" s="125" t="s">
        <v>5560</v>
      </c>
      <c r="AO25" s="125">
        <f t="shared" si="2"/>
        <v>970000</v>
      </c>
      <c r="AP25" s="177">
        <f>0.5%+0.02%+0.08%</f>
        <v>0.006</v>
      </c>
      <c r="AT25" s="125">
        <v>270000</v>
      </c>
      <c r="AU25" s="125">
        <v>700000</v>
      </c>
      <c r="BO25" s="125" t="s">
        <v>260</v>
      </c>
      <c r="BQ25" s="125" t="s">
        <v>261</v>
      </c>
    </row>
    <row r="26" s="125" customFormat="1" hidden="1" customHeight="1" spans="1:69">
      <c r="A26" s="125">
        <v>3</v>
      </c>
      <c r="B26" s="125"/>
      <c r="C26" s="210">
        <v>45611</v>
      </c>
      <c r="D26" s="125">
        <v>20240006617</v>
      </c>
      <c r="F26" s="1037" t="s">
        <v>5561</v>
      </c>
      <c r="G26" s="125" t="s">
        <v>5562</v>
      </c>
      <c r="H26" s="1037" t="s">
        <v>5563</v>
      </c>
      <c r="I26" s="214" t="s">
        <v>5564</v>
      </c>
      <c r="J26" s="212">
        <v>148.64</v>
      </c>
      <c r="K26" s="125">
        <v>148.64</v>
      </c>
      <c r="L26" s="125">
        <v>5780</v>
      </c>
      <c r="M26" s="125">
        <v>859139</v>
      </c>
      <c r="N26" s="125">
        <v>5769.83</v>
      </c>
      <c r="O26" s="125">
        <v>788200.92</v>
      </c>
      <c r="P26" s="1037" t="s">
        <v>5565</v>
      </c>
      <c r="Q26" s="168">
        <v>45951</v>
      </c>
      <c r="U26" s="125" t="s">
        <v>561</v>
      </c>
      <c r="V26" s="125">
        <v>20000</v>
      </c>
      <c r="W26" s="125" t="s">
        <v>5566</v>
      </c>
      <c r="X26" s="125">
        <v>340139</v>
      </c>
      <c r="Y26" s="125" t="s">
        <v>5412</v>
      </c>
      <c r="Z26" s="125">
        <v>185000</v>
      </c>
      <c r="AA26" s="125" t="s">
        <v>3473</v>
      </c>
      <c r="AB26" s="125">
        <v>314000</v>
      </c>
      <c r="AC26" s="125" t="s">
        <v>372</v>
      </c>
      <c r="AH26" s="206">
        <f t="shared" si="4"/>
        <v>859139</v>
      </c>
      <c r="AK26" s="171">
        <f t="shared" si="3"/>
        <v>0</v>
      </c>
      <c r="AL26" s="125">
        <v>13629949350</v>
      </c>
      <c r="AM26" s="125" t="s">
        <v>4559</v>
      </c>
      <c r="AO26" s="125">
        <f t="shared" si="2"/>
        <v>859139</v>
      </c>
      <c r="AP26" s="166">
        <f>0.7%+0.03%+0.08%+0.03%</f>
        <v>0.0084</v>
      </c>
      <c r="AX26" s="125">
        <v>545139</v>
      </c>
      <c r="AY26" s="125">
        <v>314000</v>
      </c>
      <c r="BO26" s="125" t="s">
        <v>260</v>
      </c>
      <c r="BQ26" s="125" t="s">
        <v>261</v>
      </c>
    </row>
    <row r="27" s="125" customFormat="1" hidden="1" customHeight="1" spans="1:69">
      <c r="A27" s="125">
        <v>4</v>
      </c>
      <c r="B27" s="125"/>
      <c r="C27" s="210">
        <v>45611</v>
      </c>
      <c r="D27" s="125">
        <v>20240006618</v>
      </c>
      <c r="F27" s="1037" t="s">
        <v>5567</v>
      </c>
      <c r="G27" s="125" t="s">
        <v>5568</v>
      </c>
      <c r="H27" s="1037" t="s">
        <v>5569</v>
      </c>
      <c r="I27" s="211" t="s">
        <v>5570</v>
      </c>
      <c r="J27" s="212">
        <v>139.33</v>
      </c>
      <c r="K27" s="125">
        <v>139.33</v>
      </c>
      <c r="L27" s="125">
        <v>5784.75</v>
      </c>
      <c r="M27" s="125">
        <v>805990</v>
      </c>
      <c r="N27" s="125">
        <v>5784.75</v>
      </c>
      <c r="O27" s="125">
        <v>739440.37</v>
      </c>
      <c r="P27" s="1037" t="s">
        <v>5571</v>
      </c>
      <c r="Q27" s="168">
        <v>45951</v>
      </c>
      <c r="U27" s="125" t="s">
        <v>561</v>
      </c>
      <c r="V27" s="125">
        <v>20000</v>
      </c>
      <c r="W27" s="125" t="s">
        <v>5566</v>
      </c>
      <c r="X27" s="125">
        <v>95990</v>
      </c>
      <c r="Y27" s="125" t="s">
        <v>5412</v>
      </c>
      <c r="Z27" s="125">
        <v>140000</v>
      </c>
      <c r="AA27" s="125" t="s">
        <v>394</v>
      </c>
      <c r="AB27" s="125">
        <v>550000</v>
      </c>
      <c r="AC27" s="125" t="s">
        <v>790</v>
      </c>
      <c r="AH27" s="206">
        <f t="shared" si="4"/>
        <v>805990</v>
      </c>
      <c r="AK27" s="171">
        <f t="shared" si="3"/>
        <v>0</v>
      </c>
      <c r="AL27" s="125">
        <v>13199840213</v>
      </c>
      <c r="AM27" s="125" t="s">
        <v>4559</v>
      </c>
      <c r="AO27" s="125">
        <f t="shared" si="2"/>
        <v>805990</v>
      </c>
      <c r="AP27" s="166">
        <f>0.7%+0.03%+0.08%+0.03%</f>
        <v>0.0084</v>
      </c>
      <c r="AW27" s="125">
        <v>255990</v>
      </c>
      <c r="AX27" s="125">
        <v>550000</v>
      </c>
      <c r="BO27" s="125" t="s">
        <v>260</v>
      </c>
      <c r="BQ27" s="125" t="s">
        <v>261</v>
      </c>
    </row>
    <row r="28" s="125" customFormat="1" ht="41" hidden="1" customHeight="1" spans="1:69">
      <c r="A28" s="125">
        <v>5</v>
      </c>
      <c r="B28" s="125"/>
      <c r="C28" s="210">
        <v>45583</v>
      </c>
      <c r="D28" s="125">
        <v>20240006190</v>
      </c>
      <c r="F28" s="1037" t="s">
        <v>5572</v>
      </c>
      <c r="G28" s="175" t="s">
        <v>5573</v>
      </c>
      <c r="H28" s="175" t="s">
        <v>5574</v>
      </c>
      <c r="I28" s="214" t="s">
        <v>5575</v>
      </c>
      <c r="J28" s="212">
        <v>148.64</v>
      </c>
      <c r="K28" s="125">
        <v>148.64</v>
      </c>
      <c r="L28" s="125">
        <v>5824.48</v>
      </c>
      <c r="M28" s="125">
        <f>377751+488000</f>
        <v>865751</v>
      </c>
      <c r="N28" s="125">
        <v>5824.48</v>
      </c>
      <c r="O28" s="125">
        <v>794266.97</v>
      </c>
      <c r="P28" s="1037" t="s">
        <v>5576</v>
      </c>
      <c r="Q28" s="168">
        <v>45951</v>
      </c>
      <c r="S28" s="168"/>
      <c r="U28" s="125" t="s">
        <v>5577</v>
      </c>
      <c r="V28" s="125">
        <v>2000</v>
      </c>
      <c r="W28" s="168">
        <v>45560</v>
      </c>
      <c r="X28" s="125">
        <v>377751</v>
      </c>
      <c r="Y28" s="168" t="s">
        <v>771</v>
      </c>
      <c r="Z28" s="125">
        <v>488000</v>
      </c>
      <c r="AA28" s="125" t="s">
        <v>771</v>
      </c>
      <c r="AH28" s="206">
        <f t="shared" si="4"/>
        <v>867751</v>
      </c>
      <c r="AK28" s="171">
        <f t="shared" si="3"/>
        <v>-2000</v>
      </c>
      <c r="AL28" s="125">
        <v>16609961005</v>
      </c>
      <c r="AM28" s="125" t="s">
        <v>4559</v>
      </c>
      <c r="AO28" s="125">
        <f t="shared" si="2"/>
        <v>865751</v>
      </c>
      <c r="AP28" s="166">
        <f>0.7%+0.08%+0.03%</f>
        <v>0.0081</v>
      </c>
      <c r="AV28" s="125">
        <v>865751</v>
      </c>
      <c r="BO28" s="125" t="s">
        <v>260</v>
      </c>
      <c r="BQ28" s="125" t="s">
        <v>261</v>
      </c>
    </row>
    <row r="29" s="125" customFormat="1" ht="51" hidden="1" customHeight="1" spans="1:69">
      <c r="A29" s="125">
        <v>6</v>
      </c>
      <c r="C29" s="210">
        <v>45416</v>
      </c>
      <c r="D29" s="125">
        <v>20240002531</v>
      </c>
      <c r="F29" s="1037" t="s">
        <v>5578</v>
      </c>
      <c r="G29" s="175" t="s">
        <v>5579</v>
      </c>
      <c r="H29" s="1037" t="s">
        <v>5580</v>
      </c>
      <c r="I29" s="211" t="s">
        <v>5581</v>
      </c>
      <c r="J29" s="212">
        <v>139.33</v>
      </c>
      <c r="K29" s="125">
        <v>139.33</v>
      </c>
      <c r="L29" s="125">
        <v>5839.41</v>
      </c>
      <c r="M29" s="125">
        <v>813605</v>
      </c>
      <c r="N29" s="125">
        <v>5839.41</v>
      </c>
      <c r="O29" s="125">
        <v>746426.61</v>
      </c>
      <c r="P29" s="1037" t="s">
        <v>5582</v>
      </c>
      <c r="Q29" s="168">
        <v>45951</v>
      </c>
      <c r="T29" s="1037" t="s">
        <v>5502</v>
      </c>
      <c r="U29" s="125" t="s">
        <v>284</v>
      </c>
      <c r="V29" s="125"/>
      <c r="W29" s="125"/>
      <c r="X29" s="125">
        <v>20000</v>
      </c>
      <c r="Y29" s="125" t="s">
        <v>4199</v>
      </c>
      <c r="Z29" s="125">
        <v>224605</v>
      </c>
      <c r="AA29" s="125" t="s">
        <v>964</v>
      </c>
      <c r="AB29" s="125">
        <v>569000</v>
      </c>
      <c r="AC29" s="125" t="s">
        <v>580</v>
      </c>
      <c r="AH29" s="206">
        <f t="shared" si="4"/>
        <v>813605</v>
      </c>
      <c r="AK29" s="171">
        <f t="shared" si="3"/>
        <v>0</v>
      </c>
      <c r="AL29" s="125">
        <v>18909968952</v>
      </c>
      <c r="AO29" s="125">
        <f t="shared" si="2"/>
        <v>813605</v>
      </c>
      <c r="AP29" s="166">
        <f>0.7%+0.03%+0.12%</f>
        <v>0.0085</v>
      </c>
      <c r="AT29" s="125">
        <v>813605</v>
      </c>
      <c r="BO29" s="125" t="s">
        <v>2707</v>
      </c>
      <c r="BQ29" s="125" t="s">
        <v>261</v>
      </c>
    </row>
    <row r="30" s="125" customFormat="1" hidden="1" customHeight="1" spans="1:69">
      <c r="A30" s="125">
        <v>7</v>
      </c>
      <c r="B30" s="125"/>
      <c r="C30" s="210">
        <v>45566</v>
      </c>
      <c r="D30" s="125">
        <v>20240005546</v>
      </c>
      <c r="F30" s="1037" t="s">
        <v>5583</v>
      </c>
      <c r="G30" s="125" t="s">
        <v>5584</v>
      </c>
      <c r="I30" s="214" t="s">
        <v>5585</v>
      </c>
      <c r="J30" s="212">
        <v>148.64</v>
      </c>
      <c r="K30" s="125">
        <v>148.64</v>
      </c>
      <c r="L30" s="125">
        <v>5657.21</v>
      </c>
      <c r="M30" s="125">
        <v>840888</v>
      </c>
      <c r="N30" s="125">
        <v>5657.21</v>
      </c>
      <c r="O30" s="125">
        <v>771456.88</v>
      </c>
      <c r="P30" s="1037" t="s">
        <v>5586</v>
      </c>
      <c r="Q30" s="168">
        <v>45951</v>
      </c>
      <c r="S30" s="168"/>
      <c r="U30" s="125" t="s">
        <v>370</v>
      </c>
      <c r="V30" s="125">
        <v>20000</v>
      </c>
      <c r="W30" s="168">
        <v>45551</v>
      </c>
      <c r="X30" s="125">
        <v>190888</v>
      </c>
      <c r="Y30" s="168" t="s">
        <v>258</v>
      </c>
      <c r="Z30" s="125">
        <v>630000</v>
      </c>
      <c r="AA30" s="168" t="s">
        <v>409</v>
      </c>
      <c r="AH30" s="206">
        <f t="shared" si="4"/>
        <v>840888</v>
      </c>
      <c r="AK30" s="171">
        <f t="shared" si="3"/>
        <v>0</v>
      </c>
      <c r="AL30" s="125">
        <v>18699610532</v>
      </c>
      <c r="AO30" s="125">
        <f t="shared" si="2"/>
        <v>840888</v>
      </c>
      <c r="AP30" s="166">
        <f>0.5%+0.04%+0.1%</f>
        <v>0.0064</v>
      </c>
      <c r="AV30" s="125">
        <v>210888</v>
      </c>
      <c r="AX30" s="125">
        <v>630000</v>
      </c>
      <c r="BO30" s="125" t="s">
        <v>260</v>
      </c>
      <c r="BQ30" s="125" t="s">
        <v>261</v>
      </c>
    </row>
    <row r="31" s="125" customFormat="1" hidden="1" customHeight="1" spans="1:69">
      <c r="A31" s="125">
        <v>8</v>
      </c>
      <c r="C31" s="210">
        <v>45472</v>
      </c>
      <c r="D31" s="125">
        <v>20240003715</v>
      </c>
      <c r="F31" s="1037" t="s">
        <v>5587</v>
      </c>
      <c r="G31" s="125" t="s">
        <v>5588</v>
      </c>
      <c r="H31" s="1037" t="s">
        <v>5589</v>
      </c>
      <c r="I31" s="211" t="s">
        <v>5590</v>
      </c>
      <c r="J31" s="212">
        <v>139.33</v>
      </c>
      <c r="K31" s="125">
        <v>139.33</v>
      </c>
      <c r="L31" s="125">
        <v>5600</v>
      </c>
      <c r="M31" s="125">
        <v>780248</v>
      </c>
      <c r="N31" s="125">
        <v>5600</v>
      </c>
      <c r="O31" s="125">
        <v>715823.85</v>
      </c>
      <c r="P31" s="1037" t="s">
        <v>5591</v>
      </c>
      <c r="Q31" s="168">
        <v>45951</v>
      </c>
      <c r="U31" s="125" t="s">
        <v>294</v>
      </c>
      <c r="V31" s="125">
        <v>20000</v>
      </c>
      <c r="W31" s="125" t="s">
        <v>5094</v>
      </c>
      <c r="X31" s="125">
        <v>10000</v>
      </c>
      <c r="Y31" s="125" t="s">
        <v>5068</v>
      </c>
      <c r="Z31" s="125">
        <v>126248</v>
      </c>
      <c r="AA31" s="125" t="s">
        <v>356</v>
      </c>
      <c r="AB31" s="125">
        <v>624000</v>
      </c>
      <c r="AC31" s="125" t="s">
        <v>5592</v>
      </c>
      <c r="AH31" s="206">
        <f t="shared" si="4"/>
        <v>780248</v>
      </c>
      <c r="AK31" s="171">
        <f t="shared" si="3"/>
        <v>0</v>
      </c>
      <c r="AL31" s="125">
        <v>17641032589</v>
      </c>
      <c r="AM31" s="125" t="s">
        <v>3839</v>
      </c>
      <c r="AO31" s="125">
        <f t="shared" si="2"/>
        <v>780248</v>
      </c>
      <c r="AP31" s="169">
        <f>0.7%+0.08%</f>
        <v>0.0078</v>
      </c>
      <c r="AS31" s="125">
        <v>156248</v>
      </c>
      <c r="AT31" s="125">
        <v>624000</v>
      </c>
      <c r="BO31" s="125" t="s">
        <v>260</v>
      </c>
      <c r="BP31" s="125" t="s">
        <v>271</v>
      </c>
      <c r="BQ31" s="125" t="s">
        <v>261</v>
      </c>
    </row>
    <row r="32" s="125" customFormat="1" hidden="1" customHeight="1" spans="1:69">
      <c r="A32" s="125">
        <v>9</v>
      </c>
      <c r="C32" s="210">
        <v>45416</v>
      </c>
      <c r="D32" s="125">
        <v>20240002559</v>
      </c>
      <c r="F32" s="1037" t="s">
        <v>5593</v>
      </c>
      <c r="G32" s="125" t="s">
        <v>5537</v>
      </c>
      <c r="H32" s="1037" t="s">
        <v>5594</v>
      </c>
      <c r="I32" s="214" t="s">
        <v>5595</v>
      </c>
      <c r="J32" s="212">
        <v>148.64</v>
      </c>
      <c r="K32" s="125">
        <v>148.64</v>
      </c>
      <c r="L32" s="125">
        <v>5897.806</v>
      </c>
      <c r="M32" s="125">
        <v>876650</v>
      </c>
      <c r="N32" s="125">
        <v>5897.806</v>
      </c>
      <c r="O32" s="125">
        <v>804266.06</v>
      </c>
      <c r="P32" s="1037" t="s">
        <v>5596</v>
      </c>
      <c r="Q32" s="168">
        <v>45951</v>
      </c>
      <c r="U32" s="125" t="s">
        <v>656</v>
      </c>
      <c r="V32" s="125">
        <v>20000</v>
      </c>
      <c r="W32" s="125" t="s">
        <v>4376</v>
      </c>
      <c r="X32" s="125">
        <v>121650</v>
      </c>
      <c r="Y32" s="125" t="s">
        <v>708</v>
      </c>
      <c r="Z32" s="125">
        <v>145000</v>
      </c>
      <c r="AA32" s="125" t="s">
        <v>289</v>
      </c>
      <c r="AB32" s="125">
        <v>590000</v>
      </c>
      <c r="AC32" s="125" t="s">
        <v>1048</v>
      </c>
      <c r="AH32" s="206">
        <f t="shared" si="4"/>
        <v>876650</v>
      </c>
      <c r="AK32" s="171">
        <f t="shared" ref="AK32:AK49" si="5">M32-AH32</f>
        <v>0</v>
      </c>
      <c r="AL32" s="125">
        <v>19199200131</v>
      </c>
      <c r="AO32" s="125">
        <f t="shared" si="2"/>
        <v>876650</v>
      </c>
      <c r="AP32" s="166">
        <f>0.7%+0.02%+0.12%</f>
        <v>0.0084</v>
      </c>
      <c r="AS32" s="125">
        <v>286650</v>
      </c>
      <c r="AT32" s="125">
        <v>590000</v>
      </c>
      <c r="BO32" s="125" t="s">
        <v>260</v>
      </c>
      <c r="BQ32" s="125" t="s">
        <v>261</v>
      </c>
    </row>
    <row r="33" s="125" customFormat="1" hidden="1" customHeight="1" spans="1:69">
      <c r="A33" s="125">
        <v>10</v>
      </c>
      <c r="C33" s="210">
        <v>45472</v>
      </c>
      <c r="D33" s="125">
        <v>20240003716</v>
      </c>
      <c r="F33" s="1037" t="s">
        <v>5597</v>
      </c>
      <c r="G33" s="175" t="s">
        <v>5598</v>
      </c>
      <c r="H33" s="1037" t="s">
        <v>5599</v>
      </c>
      <c r="I33" s="211" t="s">
        <v>5600</v>
      </c>
      <c r="J33" s="212">
        <v>139.33</v>
      </c>
      <c r="K33" s="125">
        <v>139.33</v>
      </c>
      <c r="L33" s="125">
        <v>5946.36</v>
      </c>
      <c r="M33" s="125">
        <v>828507</v>
      </c>
      <c r="N33" s="125">
        <v>5946.36</v>
      </c>
      <c r="O33" s="125">
        <v>760098.17</v>
      </c>
      <c r="P33" s="1037" t="s">
        <v>5601</v>
      </c>
      <c r="Q33" s="168">
        <v>45951</v>
      </c>
      <c r="T33" s="175"/>
      <c r="U33" s="175" t="s">
        <v>294</v>
      </c>
      <c r="V33" s="125">
        <v>20000</v>
      </c>
      <c r="W33" s="125" t="s">
        <v>745</v>
      </c>
      <c r="X33" s="125">
        <v>33507</v>
      </c>
      <c r="Y33" s="125" t="s">
        <v>5068</v>
      </c>
      <c r="Z33" s="125">
        <v>70000</v>
      </c>
      <c r="AA33" s="125" t="s">
        <v>356</v>
      </c>
      <c r="AB33" s="125">
        <v>185000</v>
      </c>
      <c r="AC33" s="125" t="s">
        <v>5602</v>
      </c>
      <c r="AD33" s="125">
        <v>520000</v>
      </c>
      <c r="AE33" s="125" t="s">
        <v>5398</v>
      </c>
      <c r="AH33" s="206">
        <f t="shared" si="4"/>
        <v>828507</v>
      </c>
      <c r="AK33" s="171">
        <f t="shared" si="5"/>
        <v>0</v>
      </c>
      <c r="AL33" s="125">
        <v>13999021450</v>
      </c>
      <c r="AO33" s="125">
        <f t="shared" si="2"/>
        <v>828507</v>
      </c>
      <c r="AP33" s="166">
        <f>0.7%+0.08%</f>
        <v>0.0078</v>
      </c>
      <c r="AS33" s="125">
        <v>308507</v>
      </c>
      <c r="AT33" s="125">
        <v>520000</v>
      </c>
      <c r="BO33" s="125" t="s">
        <v>260</v>
      </c>
      <c r="BP33" s="125" t="s">
        <v>271</v>
      </c>
      <c r="BQ33" s="125" t="s">
        <v>261</v>
      </c>
    </row>
    <row r="34" s="125" customFormat="1" hidden="1" customHeight="1" spans="1:69">
      <c r="A34" s="125">
        <v>11</v>
      </c>
      <c r="C34" s="210">
        <v>45605</v>
      </c>
      <c r="D34" s="125">
        <v>20240006521</v>
      </c>
      <c r="F34" s="1037" t="s">
        <v>5603</v>
      </c>
      <c r="G34" s="125" t="s">
        <v>5604</v>
      </c>
      <c r="I34" s="214" t="s">
        <v>5605</v>
      </c>
      <c r="J34" s="212">
        <v>148.64</v>
      </c>
      <c r="K34" s="125">
        <v>148.64</v>
      </c>
      <c r="L34" s="125">
        <v>5965.8</v>
      </c>
      <c r="M34" s="125">
        <v>886756</v>
      </c>
      <c r="N34" s="125">
        <v>5965.795</v>
      </c>
      <c r="O34" s="125">
        <v>813537.61</v>
      </c>
      <c r="P34" s="1037" t="s">
        <v>5606</v>
      </c>
      <c r="Q34" s="168">
        <v>45951</v>
      </c>
      <c r="U34" s="125" t="s">
        <v>370</v>
      </c>
      <c r="V34" s="125">
        <v>5000</v>
      </c>
      <c r="W34" s="125" t="s">
        <v>483</v>
      </c>
      <c r="X34" s="125">
        <v>15000</v>
      </c>
      <c r="Y34" s="125" t="s">
        <v>1200</v>
      </c>
      <c r="Z34" s="125">
        <v>166756</v>
      </c>
      <c r="AA34" s="125" t="s">
        <v>5607</v>
      </c>
      <c r="AB34" s="125">
        <v>700000</v>
      </c>
      <c r="AC34" s="125" t="s">
        <v>848</v>
      </c>
      <c r="AH34" s="206">
        <f t="shared" si="4"/>
        <v>886756</v>
      </c>
      <c r="AK34" s="171">
        <f t="shared" si="5"/>
        <v>0</v>
      </c>
      <c r="AL34" s="125">
        <v>19990288970</v>
      </c>
      <c r="AM34" s="125" t="s">
        <v>4542</v>
      </c>
      <c r="AO34" s="125">
        <f t="shared" si="2"/>
        <v>886756</v>
      </c>
      <c r="AP34" s="177">
        <f>0.7%+0.02%+0.08%</f>
        <v>0.008</v>
      </c>
      <c r="AW34" s="125">
        <v>186756</v>
      </c>
      <c r="AX34" s="125">
        <v>700000</v>
      </c>
      <c r="BO34" s="125" t="s">
        <v>260</v>
      </c>
      <c r="BQ34" s="125" t="s">
        <v>261</v>
      </c>
    </row>
    <row r="35" s="125" customFormat="1" hidden="1" customHeight="1" spans="1:69">
      <c r="A35" s="125">
        <v>12</v>
      </c>
      <c r="C35" s="210">
        <v>45416</v>
      </c>
      <c r="D35" s="125">
        <v>20240002527</v>
      </c>
      <c r="F35" s="1037" t="s">
        <v>5608</v>
      </c>
      <c r="G35" s="175" t="s">
        <v>5609</v>
      </c>
      <c r="H35" s="1037" t="s">
        <v>5610</v>
      </c>
      <c r="I35" s="211" t="s">
        <v>5611</v>
      </c>
      <c r="J35" s="212">
        <v>139.33</v>
      </c>
      <c r="K35" s="125">
        <v>139.33</v>
      </c>
      <c r="L35" s="125">
        <f>M35/K35</f>
        <v>5978.61192851504</v>
      </c>
      <c r="M35" s="125">
        <v>833000</v>
      </c>
      <c r="N35" s="125">
        <v>5978.61</v>
      </c>
      <c r="O35" s="125">
        <v>764220.18</v>
      </c>
      <c r="P35" s="175" t="s">
        <v>5612</v>
      </c>
      <c r="Q35" s="168">
        <v>45951</v>
      </c>
      <c r="T35" s="175"/>
      <c r="U35" s="175" t="s">
        <v>656</v>
      </c>
      <c r="V35" s="125">
        <v>20000</v>
      </c>
      <c r="W35" s="125" t="s">
        <v>669</v>
      </c>
      <c r="X35" s="125">
        <v>233000</v>
      </c>
      <c r="Y35" s="125" t="s">
        <v>708</v>
      </c>
      <c r="Z35" s="125">
        <v>580000</v>
      </c>
      <c r="AA35" s="125" t="s">
        <v>704</v>
      </c>
      <c r="AH35" s="206">
        <f t="shared" si="4"/>
        <v>833000</v>
      </c>
      <c r="AK35" s="171">
        <f t="shared" si="5"/>
        <v>0</v>
      </c>
      <c r="AL35" s="125">
        <v>15299350690</v>
      </c>
      <c r="AO35" s="125">
        <f t="shared" si="2"/>
        <v>833000</v>
      </c>
      <c r="AP35" s="166">
        <f>0.7%+0.02%+0.12%</f>
        <v>0.0084</v>
      </c>
      <c r="AQ35" s="125">
        <v>253000</v>
      </c>
      <c r="AR35" s="125">
        <v>580000</v>
      </c>
      <c r="BO35" s="125" t="s">
        <v>260</v>
      </c>
      <c r="BP35" s="125" t="s">
        <v>271</v>
      </c>
      <c r="BQ35" s="125" t="s">
        <v>261</v>
      </c>
    </row>
    <row r="36" s="125" customFormat="1" hidden="1" customHeight="1" spans="1:69">
      <c r="A36" s="125">
        <v>13</v>
      </c>
      <c r="C36" s="210">
        <v>45493</v>
      </c>
      <c r="D36" s="125">
        <v>20240004168</v>
      </c>
      <c r="F36" s="1037" t="s">
        <v>5613</v>
      </c>
      <c r="G36" s="125" t="s">
        <v>5614</v>
      </c>
      <c r="I36" s="214" t="s">
        <v>5615</v>
      </c>
      <c r="J36" s="212">
        <v>148.64</v>
      </c>
      <c r="K36" s="125">
        <v>148.64</v>
      </c>
      <c r="L36" s="125">
        <f>M36/K36</f>
        <v>5948.08261571582</v>
      </c>
      <c r="M36" s="125">
        <v>884123</v>
      </c>
      <c r="N36" s="125">
        <v>5948.08</v>
      </c>
      <c r="O36" s="125">
        <v>811122.02</v>
      </c>
      <c r="P36" s="1037" t="s">
        <v>5616</v>
      </c>
      <c r="Q36" s="168">
        <v>45951</v>
      </c>
      <c r="S36" s="168"/>
      <c r="U36" s="125" t="s">
        <v>284</v>
      </c>
      <c r="V36" s="125">
        <v>169123</v>
      </c>
      <c r="W36" s="125" t="s">
        <v>4364</v>
      </c>
      <c r="X36" s="125">
        <v>65000</v>
      </c>
      <c r="Y36" s="125" t="s">
        <v>3274</v>
      </c>
      <c r="Z36" s="125">
        <v>650000</v>
      </c>
      <c r="AA36" s="168">
        <v>45537</v>
      </c>
      <c r="AH36" s="206">
        <f t="shared" si="4"/>
        <v>884123</v>
      </c>
      <c r="AK36" s="171">
        <f t="shared" si="5"/>
        <v>0</v>
      </c>
      <c r="AL36" s="125">
        <v>18742865669</v>
      </c>
      <c r="AM36" s="125" t="s">
        <v>4542</v>
      </c>
      <c r="AO36" s="125">
        <f t="shared" ref="AO36:AO73" si="6">SUM(AQ36:BK36)</f>
        <v>884123</v>
      </c>
      <c r="AP36" s="177">
        <f>0.7%+0.03%+0.08%</f>
        <v>0.0081</v>
      </c>
      <c r="AT36" s="125">
        <v>234123</v>
      </c>
      <c r="AU36" s="125">
        <v>650000</v>
      </c>
      <c r="BO36" s="125" t="s">
        <v>260</v>
      </c>
      <c r="BQ36" s="125" t="s">
        <v>261</v>
      </c>
    </row>
    <row r="37" s="125" customFormat="1" ht="33" hidden="1" customHeight="1" spans="1:69">
      <c r="A37" s="125">
        <v>14</v>
      </c>
      <c r="C37" s="210">
        <v>45566</v>
      </c>
      <c r="D37" s="125">
        <v>20240005557</v>
      </c>
      <c r="F37" s="1037" t="s">
        <v>5617</v>
      </c>
      <c r="G37" s="175" t="s">
        <v>5618</v>
      </c>
      <c r="I37" s="215" t="s">
        <v>5619</v>
      </c>
      <c r="J37" s="212">
        <v>139.33</v>
      </c>
      <c r="K37" s="125">
        <v>139.33</v>
      </c>
      <c r="L37" s="125">
        <v>5892.34</v>
      </c>
      <c r="M37" s="125">
        <v>820980</v>
      </c>
      <c r="N37" s="125">
        <v>6000</v>
      </c>
      <c r="O37" s="125">
        <v>753192.66</v>
      </c>
      <c r="P37" s="1037" t="s">
        <v>5620</v>
      </c>
      <c r="Q37" s="168">
        <v>45951</v>
      </c>
      <c r="U37" s="175" t="s">
        <v>2160</v>
      </c>
      <c r="V37" s="125">
        <v>20000</v>
      </c>
      <c r="W37" s="125" t="s">
        <v>289</v>
      </c>
      <c r="X37" s="125">
        <f>180000+980</f>
        <v>180980</v>
      </c>
      <c r="Y37" s="125" t="s">
        <v>258</v>
      </c>
      <c r="Z37" s="125">
        <v>620000</v>
      </c>
      <c r="AA37" s="125" t="s">
        <v>393</v>
      </c>
      <c r="AH37" s="206">
        <f t="shared" si="4"/>
        <v>820980</v>
      </c>
      <c r="AK37" s="171">
        <f t="shared" si="5"/>
        <v>0</v>
      </c>
      <c r="AL37" s="125">
        <v>15684853588</v>
      </c>
      <c r="AM37" s="125" t="s">
        <v>5621</v>
      </c>
      <c r="AO37" s="125">
        <f t="shared" si="6"/>
        <v>820980</v>
      </c>
      <c r="AP37" s="177">
        <f>0.4%+0.03%+0.08%</f>
        <v>0.0051</v>
      </c>
      <c r="AW37" s="125">
        <v>820980</v>
      </c>
      <c r="BO37" s="125" t="s">
        <v>260</v>
      </c>
      <c r="BQ37" s="125" t="s">
        <v>261</v>
      </c>
    </row>
    <row r="38" s="125" customFormat="1" hidden="1" customHeight="1" spans="1:69">
      <c r="A38" s="125">
        <v>15</v>
      </c>
      <c r="B38" s="125"/>
      <c r="C38" s="210">
        <v>45591</v>
      </c>
      <c r="D38" s="125">
        <v>20240005654</v>
      </c>
      <c r="F38" s="1037" t="s">
        <v>5622</v>
      </c>
      <c r="G38" s="125" t="s">
        <v>5623</v>
      </c>
      <c r="H38" s="1037" t="s">
        <v>5624</v>
      </c>
      <c r="I38" s="211" t="s">
        <v>5625</v>
      </c>
      <c r="J38" s="212">
        <v>148.64</v>
      </c>
      <c r="K38" s="125">
        <v>148.64</v>
      </c>
      <c r="L38" s="125">
        <v>5853.07</v>
      </c>
      <c r="M38" s="125">
        <v>870000</v>
      </c>
      <c r="N38" s="125">
        <v>5853.07</v>
      </c>
      <c r="O38" s="125">
        <v>798165.14</v>
      </c>
      <c r="P38" s="1037" t="s">
        <v>5626</v>
      </c>
      <c r="Q38" s="168">
        <v>45951</v>
      </c>
      <c r="U38" s="125" t="s">
        <v>546</v>
      </c>
      <c r="V38" s="125">
        <v>20000</v>
      </c>
      <c r="W38" s="125" t="s">
        <v>663</v>
      </c>
      <c r="X38" s="125">
        <v>850000</v>
      </c>
      <c r="Y38" s="125" t="s">
        <v>723</v>
      </c>
      <c r="AH38" s="206">
        <f t="shared" si="4"/>
        <v>870000</v>
      </c>
      <c r="AK38" s="171">
        <f t="shared" si="5"/>
        <v>0</v>
      </c>
      <c r="AL38" s="125">
        <v>17337600520</v>
      </c>
      <c r="AO38" s="125">
        <f t="shared" si="6"/>
        <v>870000</v>
      </c>
      <c r="AP38" s="166">
        <f>0.6%+0.1%</f>
        <v>0.007</v>
      </c>
      <c r="AV38" s="125">
        <v>870000</v>
      </c>
      <c r="BO38" s="125" t="s">
        <v>260</v>
      </c>
      <c r="BQ38" s="125" t="s">
        <v>261</v>
      </c>
    </row>
    <row r="39" s="125" customFormat="1" hidden="1" customHeight="1" spans="1:69">
      <c r="A39" s="125">
        <v>16</v>
      </c>
      <c r="C39" s="210">
        <v>45493</v>
      </c>
      <c r="D39" s="125">
        <v>20240004164</v>
      </c>
      <c r="F39" s="1037" t="s">
        <v>5627</v>
      </c>
      <c r="G39" s="125" t="s">
        <v>5628</v>
      </c>
      <c r="H39" s="1037" t="s">
        <v>5629</v>
      </c>
      <c r="I39" s="211" t="s">
        <v>5630</v>
      </c>
      <c r="J39" s="212">
        <v>139.33</v>
      </c>
      <c r="K39" s="125">
        <v>139.33</v>
      </c>
      <c r="L39" s="125">
        <v>6091.36</v>
      </c>
      <c r="M39" s="125">
        <v>848710</v>
      </c>
      <c r="N39" s="125">
        <v>6091.36</v>
      </c>
      <c r="O39" s="125">
        <v>778633.03</v>
      </c>
      <c r="P39" s="1037" t="s">
        <v>5631</v>
      </c>
      <c r="Q39" s="168">
        <v>45951</v>
      </c>
      <c r="T39" s="1037" t="s">
        <v>5632</v>
      </c>
      <c r="U39" s="125" t="s">
        <v>2160</v>
      </c>
      <c r="V39" s="125">
        <v>2000</v>
      </c>
      <c r="W39" s="125" t="s">
        <v>3689</v>
      </c>
      <c r="X39" s="125">
        <v>8000</v>
      </c>
      <c r="Y39" s="125" t="s">
        <v>3745</v>
      </c>
      <c r="Z39" s="125">
        <v>96710</v>
      </c>
      <c r="AA39" s="125" t="s">
        <v>4364</v>
      </c>
      <c r="AB39" s="125">
        <v>64000</v>
      </c>
      <c r="AC39" s="125" t="s">
        <v>1118</v>
      </c>
      <c r="AD39" s="125">
        <v>678000</v>
      </c>
      <c r="AE39" s="125" t="s">
        <v>371</v>
      </c>
      <c r="AH39" s="206">
        <f t="shared" si="4"/>
        <v>848710</v>
      </c>
      <c r="AK39" s="171">
        <f t="shared" si="5"/>
        <v>0</v>
      </c>
      <c r="AL39" s="125">
        <v>18893377659</v>
      </c>
      <c r="AO39" s="125">
        <f t="shared" si="6"/>
        <v>848710</v>
      </c>
      <c r="AP39" s="166">
        <f>0.5%+0.02%+0.08%</f>
        <v>0.006</v>
      </c>
      <c r="AT39" s="125">
        <v>170710</v>
      </c>
      <c r="AV39" s="125">
        <v>678000</v>
      </c>
      <c r="BO39" s="125" t="s">
        <v>260</v>
      </c>
      <c r="BQ39" s="125" t="s">
        <v>261</v>
      </c>
    </row>
    <row r="40" s="125" customFormat="1" hidden="1" customHeight="1" spans="1:69">
      <c r="A40" s="125">
        <v>17</v>
      </c>
      <c r="C40" s="210">
        <v>45540</v>
      </c>
      <c r="D40" s="125">
        <v>20240005098</v>
      </c>
      <c r="F40" s="1037" t="s">
        <v>5633</v>
      </c>
      <c r="G40" s="125" t="s">
        <v>5634</v>
      </c>
      <c r="H40" s="1037" t="s">
        <v>5635</v>
      </c>
      <c r="I40" s="214" t="s">
        <v>5636</v>
      </c>
      <c r="J40" s="212">
        <v>148.64</v>
      </c>
      <c r="K40" s="125">
        <v>148.64</v>
      </c>
      <c r="L40" s="125">
        <f>M40/K40</f>
        <v>5920.34445640474</v>
      </c>
      <c r="M40" s="125">
        <v>880000</v>
      </c>
      <c r="N40" s="125">
        <v>5920.345</v>
      </c>
      <c r="O40" s="125">
        <v>807339.45</v>
      </c>
      <c r="P40" s="1037" t="s">
        <v>5637</v>
      </c>
      <c r="Q40" s="168">
        <v>45951</v>
      </c>
      <c r="S40" s="168"/>
      <c r="U40" s="125" t="s">
        <v>2160</v>
      </c>
      <c r="V40" s="125">
        <v>20000</v>
      </c>
      <c r="W40" s="125" t="s">
        <v>754</v>
      </c>
      <c r="X40" s="125">
        <v>178000</v>
      </c>
      <c r="Y40" s="168">
        <v>45540</v>
      </c>
      <c r="Z40" s="125">
        <v>682000</v>
      </c>
      <c r="AA40" s="168" t="s">
        <v>371</v>
      </c>
      <c r="AH40" s="206">
        <f t="shared" si="4"/>
        <v>880000</v>
      </c>
      <c r="AK40" s="171">
        <f t="shared" si="5"/>
        <v>0</v>
      </c>
      <c r="AL40" s="125">
        <v>13119023002</v>
      </c>
      <c r="AM40" s="125" t="s">
        <v>5638</v>
      </c>
      <c r="AO40" s="125">
        <f t="shared" si="6"/>
        <v>880000</v>
      </c>
      <c r="AP40" s="125">
        <f>0.4%+0.02%+0.08%</f>
        <v>0.005</v>
      </c>
      <c r="AU40" s="125">
        <v>198000</v>
      </c>
      <c r="AV40" s="125">
        <v>682000</v>
      </c>
      <c r="BO40" s="125" t="s">
        <v>260</v>
      </c>
      <c r="BQ40" s="125" t="s">
        <v>261</v>
      </c>
    </row>
    <row r="41" s="125" customFormat="1" hidden="1" customHeight="1" spans="1:69">
      <c r="A41" s="125">
        <v>18</v>
      </c>
      <c r="C41" s="210">
        <v>45428</v>
      </c>
      <c r="D41" s="125">
        <v>20240002913</v>
      </c>
      <c r="F41" s="1037" t="s">
        <v>5639</v>
      </c>
      <c r="G41" s="125" t="s">
        <v>5526</v>
      </c>
      <c r="H41" s="1037" t="s">
        <v>5640</v>
      </c>
      <c r="I41" s="211" t="s">
        <v>5641</v>
      </c>
      <c r="J41" s="212">
        <v>139.33</v>
      </c>
      <c r="K41" s="125">
        <v>139.33</v>
      </c>
      <c r="L41" s="125">
        <v>6120.28</v>
      </c>
      <c r="M41" s="125">
        <v>852739</v>
      </c>
      <c r="N41" s="125">
        <v>6120.28</v>
      </c>
      <c r="O41" s="125">
        <v>782329.36</v>
      </c>
      <c r="P41" s="1037" t="s">
        <v>5642</v>
      </c>
      <c r="Q41" s="168">
        <v>45951</v>
      </c>
      <c r="S41" s="168"/>
      <c r="T41" s="1037" t="s">
        <v>5643</v>
      </c>
      <c r="U41" s="125" t="s">
        <v>284</v>
      </c>
      <c r="V41" s="125">
        <v>2000</v>
      </c>
      <c r="W41" s="125" t="s">
        <v>4107</v>
      </c>
      <c r="X41" s="125">
        <v>18000</v>
      </c>
      <c r="Y41" s="125" t="s">
        <v>4199</v>
      </c>
      <c r="Z41" s="125">
        <f>2739+120000</f>
        <v>122739</v>
      </c>
      <c r="AA41" s="168">
        <v>45428</v>
      </c>
      <c r="AB41" s="125">
        <v>510000</v>
      </c>
      <c r="AC41" s="168" t="s">
        <v>3802</v>
      </c>
      <c r="AD41" s="125">
        <v>200000</v>
      </c>
      <c r="AE41" s="168" t="s">
        <v>765</v>
      </c>
      <c r="AH41" s="206">
        <f t="shared" si="4"/>
        <v>852739</v>
      </c>
      <c r="AK41" s="171">
        <f t="shared" si="5"/>
        <v>0</v>
      </c>
      <c r="AL41" s="125">
        <v>17699690006</v>
      </c>
      <c r="AO41" s="125">
        <f t="shared" si="6"/>
        <v>852739</v>
      </c>
      <c r="AP41" s="166">
        <f>0.7%+0.03%+0.12%</f>
        <v>0.0085</v>
      </c>
      <c r="AR41" s="125">
        <v>652739</v>
      </c>
      <c r="AS41" s="125">
        <v>200000</v>
      </c>
      <c r="BO41" s="125" t="s">
        <v>260</v>
      </c>
      <c r="BP41" s="125" t="s">
        <v>271</v>
      </c>
      <c r="BQ41" s="125" t="s">
        <v>261</v>
      </c>
    </row>
    <row r="42" s="125" customFormat="1" hidden="1" customHeight="1" spans="1:69">
      <c r="A42" s="125">
        <v>19</v>
      </c>
      <c r="B42" s="125"/>
      <c r="C42" s="210">
        <v>45569</v>
      </c>
      <c r="D42" s="125">
        <v>20240005780</v>
      </c>
      <c r="F42" s="1037" t="s">
        <v>5644</v>
      </c>
      <c r="G42" s="125" t="s">
        <v>5645</v>
      </c>
      <c r="H42" s="1037" t="s">
        <v>5646</v>
      </c>
      <c r="I42" s="214" t="s">
        <v>5647</v>
      </c>
      <c r="J42" s="212">
        <v>148.64</v>
      </c>
      <c r="K42" s="125">
        <v>148.64</v>
      </c>
      <c r="L42" s="125">
        <v>5747.09</v>
      </c>
      <c r="M42" s="125">
        <v>854247</v>
      </c>
      <c r="N42" s="125">
        <v>6127.09</v>
      </c>
      <c r="O42" s="125">
        <v>783712.84</v>
      </c>
      <c r="P42" s="1037" t="s">
        <v>5648</v>
      </c>
      <c r="Q42" s="168">
        <v>45951</v>
      </c>
      <c r="S42" s="168"/>
      <c r="U42" s="125" t="s">
        <v>722</v>
      </c>
      <c r="V42" s="125">
        <v>20000</v>
      </c>
      <c r="W42" s="168">
        <v>45543</v>
      </c>
      <c r="X42" s="125">
        <v>334247</v>
      </c>
      <c r="Y42" s="168" t="s">
        <v>497</v>
      </c>
      <c r="Z42" s="125">
        <v>500000</v>
      </c>
      <c r="AA42" s="168" t="s">
        <v>5649</v>
      </c>
      <c r="AH42" s="206">
        <f t="shared" ref="AH42:AH89" si="7">V42+X42+Z42+AB42+AD42+AF42</f>
        <v>854247</v>
      </c>
      <c r="AK42" s="171">
        <f t="shared" si="5"/>
        <v>0</v>
      </c>
      <c r="AL42" s="125">
        <v>18999002531</v>
      </c>
      <c r="AM42" s="125" t="s">
        <v>3461</v>
      </c>
      <c r="AO42" s="125">
        <f t="shared" si="6"/>
        <v>854247</v>
      </c>
      <c r="AP42" s="166">
        <f>0.5%+0.1%</f>
        <v>0.006</v>
      </c>
      <c r="AV42" s="125">
        <v>354247</v>
      </c>
      <c r="AW42" s="125">
        <v>500000</v>
      </c>
      <c r="BO42" s="125" t="s">
        <v>260</v>
      </c>
      <c r="BQ42" s="125" t="s">
        <v>261</v>
      </c>
    </row>
    <row r="43" s="125" customFormat="1" hidden="1" customHeight="1" spans="1:69">
      <c r="A43" s="125">
        <v>20</v>
      </c>
      <c r="C43" s="210">
        <v>45477</v>
      </c>
      <c r="D43" s="125">
        <v>20240003839</v>
      </c>
      <c r="F43" s="1037" t="s">
        <v>5650</v>
      </c>
      <c r="G43" s="175" t="s">
        <v>5651</v>
      </c>
      <c r="H43" s="1037" t="s">
        <v>5652</v>
      </c>
      <c r="I43" s="211" t="s">
        <v>5653</v>
      </c>
      <c r="J43" s="212">
        <v>139.33</v>
      </c>
      <c r="K43" s="125">
        <v>139.33</v>
      </c>
      <c r="L43" s="125">
        <f>M43/K43</f>
        <v>6142.02253642432</v>
      </c>
      <c r="M43" s="125">
        <v>855768</v>
      </c>
      <c r="N43" s="125">
        <v>6142.02</v>
      </c>
      <c r="O43" s="125">
        <v>785108.26</v>
      </c>
      <c r="P43" s="1037" t="s">
        <v>5654</v>
      </c>
      <c r="Q43" s="168">
        <v>45951</v>
      </c>
      <c r="T43" s="1037" t="s">
        <v>4848</v>
      </c>
      <c r="U43" s="175" t="s">
        <v>546</v>
      </c>
      <c r="V43" s="125"/>
      <c r="W43" s="125"/>
      <c r="X43" s="125">
        <v>20000</v>
      </c>
      <c r="Y43" s="125" t="s">
        <v>669</v>
      </c>
      <c r="Z43" s="125">
        <f>135768+50000</f>
        <v>185768</v>
      </c>
      <c r="AA43" s="125" t="s">
        <v>5602</v>
      </c>
      <c r="AB43" s="125">
        <v>650000</v>
      </c>
      <c r="AC43" s="125" t="s">
        <v>3838</v>
      </c>
      <c r="AH43" s="206">
        <f t="shared" si="7"/>
        <v>855768</v>
      </c>
      <c r="AK43" s="171">
        <f t="shared" si="5"/>
        <v>0</v>
      </c>
      <c r="AL43" s="125">
        <v>18799806032</v>
      </c>
      <c r="AO43" s="125">
        <f t="shared" si="6"/>
        <v>855768</v>
      </c>
      <c r="AP43" s="169">
        <f>0.7%+0.12%</f>
        <v>0.0082</v>
      </c>
      <c r="AS43" s="125">
        <v>855768</v>
      </c>
      <c r="BO43" s="125" t="s">
        <v>260</v>
      </c>
      <c r="BP43" s="125" t="s">
        <v>271</v>
      </c>
      <c r="BQ43" s="125" t="s">
        <v>261</v>
      </c>
    </row>
    <row r="44" s="125" customFormat="1" hidden="1" customHeight="1" spans="1:69">
      <c r="A44" s="125">
        <v>21</v>
      </c>
      <c r="B44" s="125"/>
      <c r="C44" s="210">
        <v>45825</v>
      </c>
      <c r="D44" s="125">
        <v>20250003135</v>
      </c>
      <c r="E44" s="125"/>
      <c r="F44" s="1037" t="s">
        <v>5655</v>
      </c>
      <c r="G44" s="125" t="s">
        <v>5656</v>
      </c>
      <c r="H44" s="1037" t="s">
        <v>5657</v>
      </c>
      <c r="I44" s="214" t="s">
        <v>5658</v>
      </c>
      <c r="J44" s="212">
        <v>148.64</v>
      </c>
      <c r="K44" s="125">
        <v>148.64</v>
      </c>
      <c r="L44" s="125">
        <v>7131.324</v>
      </c>
      <c r="M44" s="125">
        <v>1060000</v>
      </c>
      <c r="N44" s="125">
        <v>7131.324</v>
      </c>
      <c r="O44" s="125">
        <v>972477.06</v>
      </c>
      <c r="P44" s="1037" t="s">
        <v>5659</v>
      </c>
      <c r="Q44" s="168">
        <v>45951</v>
      </c>
      <c r="R44" s="125"/>
      <c r="S44" s="168"/>
      <c r="T44" s="125"/>
      <c r="U44" s="125" t="s">
        <v>408</v>
      </c>
      <c r="V44" s="125">
        <v>20000</v>
      </c>
      <c r="W44" s="125" t="s">
        <v>5660</v>
      </c>
      <c r="X44" s="125">
        <v>340000</v>
      </c>
      <c r="Y44" s="125" t="s">
        <v>1043</v>
      </c>
      <c r="Z44" s="125">
        <v>700000</v>
      </c>
      <c r="AA44" s="168">
        <v>45854</v>
      </c>
      <c r="AB44" s="125"/>
      <c r="AC44" s="125"/>
      <c r="AD44" s="125"/>
      <c r="AE44" s="125"/>
      <c r="AF44" s="125"/>
      <c r="AG44" s="125"/>
      <c r="AH44" s="206">
        <f t="shared" si="7"/>
        <v>1060000</v>
      </c>
      <c r="AK44" s="171">
        <f t="shared" si="5"/>
        <v>0</v>
      </c>
      <c r="AL44" s="125">
        <v>13667537388</v>
      </c>
      <c r="AM44" s="125" t="s">
        <v>3522</v>
      </c>
      <c r="AN44" s="125"/>
      <c r="AO44" s="125">
        <f t="shared" si="6"/>
        <v>1060000</v>
      </c>
      <c r="AP44" s="166">
        <f>0.7%+0.03%+0.08%+0.03%</f>
        <v>0.0084</v>
      </c>
      <c r="BD44" s="125">
        <v>360000</v>
      </c>
      <c r="BE44" s="125">
        <v>700000</v>
      </c>
      <c r="BO44" s="125" t="s">
        <v>260</v>
      </c>
      <c r="BQ44" s="125" t="s">
        <v>261</v>
      </c>
    </row>
    <row r="45" s="155" customFormat="1" ht="49" hidden="1" customHeight="1" spans="1:69">
      <c r="A45" s="155">
        <v>22</v>
      </c>
      <c r="B45" s="155"/>
      <c r="C45" s="216">
        <v>45931</v>
      </c>
      <c r="D45" s="155">
        <v>20250005081</v>
      </c>
      <c r="E45" s="155"/>
      <c r="F45" s="1044" t="s">
        <v>5661</v>
      </c>
      <c r="G45" s="217" t="s">
        <v>5662</v>
      </c>
      <c r="H45" s="1044" t="s">
        <v>5663</v>
      </c>
      <c r="I45" s="218" t="s">
        <v>5664</v>
      </c>
      <c r="J45" s="219">
        <v>139.33</v>
      </c>
      <c r="K45" s="155">
        <v>139.33</v>
      </c>
      <c r="L45" s="155">
        <v>6351</v>
      </c>
      <c r="M45" s="155">
        <v>884885</v>
      </c>
      <c r="N45" s="155">
        <v>6351</v>
      </c>
      <c r="O45" s="171">
        <v>811821.1</v>
      </c>
      <c r="P45" s="1044" t="s">
        <v>5665</v>
      </c>
      <c r="Q45" s="185">
        <v>45986</v>
      </c>
      <c r="R45" s="155"/>
      <c r="S45" s="185"/>
      <c r="T45" s="155"/>
      <c r="U45" s="217" t="s">
        <v>370</v>
      </c>
      <c r="V45" s="155">
        <v>10000</v>
      </c>
      <c r="W45" s="155" t="s">
        <v>3584</v>
      </c>
      <c r="X45" s="155">
        <v>-10000</v>
      </c>
      <c r="Y45" s="185">
        <v>45874</v>
      </c>
      <c r="Z45" s="155">
        <v>20000</v>
      </c>
      <c r="AA45" s="185">
        <v>45914</v>
      </c>
      <c r="AB45" s="155">
        <f>94885+70000</f>
        <v>164885</v>
      </c>
      <c r="AC45" s="185" t="s">
        <v>5666</v>
      </c>
      <c r="AD45" s="155">
        <v>700000</v>
      </c>
      <c r="AE45" s="185">
        <v>45978</v>
      </c>
      <c r="AF45" s="155"/>
      <c r="AG45" s="155"/>
      <c r="AH45" s="220">
        <f t="shared" si="7"/>
        <v>884885</v>
      </c>
      <c r="AK45" s="221">
        <f t="shared" si="5"/>
        <v>0</v>
      </c>
      <c r="AM45" s="155" t="s">
        <v>3362</v>
      </c>
      <c r="AO45" s="125">
        <f t="shared" si="6"/>
        <v>884885</v>
      </c>
      <c r="AP45" s="169">
        <f>0.7%+0.04%+0.08%+0.03%</f>
        <v>0.0085</v>
      </c>
      <c r="BH45" s="155">
        <v>184885</v>
      </c>
      <c r="BI45" s="155">
        <v>700000</v>
      </c>
      <c r="BO45" s="155" t="s">
        <v>3258</v>
      </c>
      <c r="BQ45" s="155" t="s">
        <v>5667</v>
      </c>
    </row>
    <row r="46" s="125" customFormat="1" hidden="1" customHeight="1" spans="1:69">
      <c r="A46" s="125">
        <v>23</v>
      </c>
      <c r="B46" s="125"/>
      <c r="C46" s="210">
        <v>45737</v>
      </c>
      <c r="D46" s="125">
        <v>20250001457</v>
      </c>
      <c r="F46" s="1037" t="s">
        <v>5668</v>
      </c>
      <c r="G46" s="125" t="s">
        <v>5669</v>
      </c>
      <c r="H46" s="1037" t="s">
        <v>5670</v>
      </c>
      <c r="I46" s="214" t="s">
        <v>5671</v>
      </c>
      <c r="J46" s="212">
        <v>101.56</v>
      </c>
      <c r="K46" s="125">
        <v>101.56</v>
      </c>
      <c r="L46" s="125">
        <v>8270.97</v>
      </c>
      <c r="M46" s="125">
        <v>840000</v>
      </c>
      <c r="N46" s="125">
        <v>8254.6</v>
      </c>
      <c r="O46" s="125">
        <v>770642.2</v>
      </c>
      <c r="P46" s="1037" t="s">
        <v>5672</v>
      </c>
      <c r="Q46" s="168">
        <v>45952</v>
      </c>
      <c r="U46" s="125" t="s">
        <v>370</v>
      </c>
      <c r="V46" s="125">
        <v>20000</v>
      </c>
      <c r="W46" s="125" t="s">
        <v>5673</v>
      </c>
      <c r="X46" s="125">
        <v>60000</v>
      </c>
      <c r="Y46" s="125" t="s">
        <v>3535</v>
      </c>
      <c r="Z46" s="125">
        <v>760000</v>
      </c>
      <c r="AA46" s="125" t="s">
        <v>3407</v>
      </c>
      <c r="AH46" s="206">
        <f t="shared" si="7"/>
        <v>840000</v>
      </c>
      <c r="AK46" s="171">
        <f t="shared" si="5"/>
        <v>0</v>
      </c>
      <c r="AL46" s="125">
        <v>15299570139</v>
      </c>
      <c r="AM46" s="125" t="s">
        <v>3522</v>
      </c>
      <c r="AO46" s="125">
        <f t="shared" si="6"/>
        <v>840000</v>
      </c>
      <c r="AP46" s="166">
        <f>0.4%+0.02%+0.08%+0.03%</f>
        <v>0.0053</v>
      </c>
      <c r="BB46" s="125">
        <v>840000</v>
      </c>
      <c r="BO46" s="125" t="s">
        <v>260</v>
      </c>
      <c r="BQ46" s="125" t="s">
        <v>261</v>
      </c>
    </row>
    <row r="47" s="125" customFormat="1" ht="39" hidden="1" customHeight="1" spans="1:69">
      <c r="A47" s="125">
        <v>24</v>
      </c>
      <c r="B47" s="125"/>
      <c r="C47" s="210">
        <v>45602</v>
      </c>
      <c r="D47" s="125">
        <v>20240006475</v>
      </c>
      <c r="F47" s="1040" t="s">
        <v>5674</v>
      </c>
      <c r="G47" s="175" t="s">
        <v>5675</v>
      </c>
      <c r="H47" s="1037" t="s">
        <v>5676</v>
      </c>
      <c r="I47" s="211" t="s">
        <v>5677</v>
      </c>
      <c r="J47" s="212">
        <v>119.74</v>
      </c>
      <c r="K47" s="125">
        <v>119.74</v>
      </c>
      <c r="L47" s="125">
        <v>8120</v>
      </c>
      <c r="M47" s="125">
        <v>972289</v>
      </c>
      <c r="N47" s="125">
        <v>8235.6</v>
      </c>
      <c r="O47" s="125">
        <v>892008.26</v>
      </c>
      <c r="P47" s="1037" t="s">
        <v>5678</v>
      </c>
      <c r="Q47" s="168">
        <v>45953</v>
      </c>
      <c r="S47" s="168"/>
      <c r="U47" s="175" t="s">
        <v>2160</v>
      </c>
      <c r="V47" s="125"/>
      <c r="W47" s="168"/>
      <c r="X47" s="125">
        <v>2289</v>
      </c>
      <c r="Y47" s="168" t="s">
        <v>3479</v>
      </c>
      <c r="Z47" s="125">
        <v>289000</v>
      </c>
      <c r="AA47" s="168" t="s">
        <v>409</v>
      </c>
      <c r="AB47" s="125">
        <v>681000</v>
      </c>
      <c r="AC47" s="168" t="s">
        <v>372</v>
      </c>
      <c r="AH47" s="206">
        <f t="shared" si="7"/>
        <v>972289</v>
      </c>
      <c r="AK47" s="171">
        <f t="shared" si="5"/>
        <v>0</v>
      </c>
      <c r="AL47" s="125">
        <v>13899071228</v>
      </c>
      <c r="AM47" s="125" t="s">
        <v>3284</v>
      </c>
      <c r="AO47" s="125">
        <f t="shared" si="6"/>
        <v>972289</v>
      </c>
      <c r="AP47" s="169">
        <f>0.6%+0.02%+0.08%+0.03%</f>
        <v>0.0073</v>
      </c>
      <c r="AX47" s="125">
        <v>291289</v>
      </c>
      <c r="AY47" s="125">
        <v>681000</v>
      </c>
      <c r="BO47" s="125" t="s">
        <v>260</v>
      </c>
      <c r="BQ47" s="125" t="s">
        <v>261</v>
      </c>
    </row>
    <row r="48" s="125" customFormat="1" hidden="1" customHeight="1" spans="1:69">
      <c r="A48" s="125">
        <v>25</v>
      </c>
      <c r="B48" s="125"/>
      <c r="C48" s="210">
        <v>45796</v>
      </c>
      <c r="D48" s="125">
        <v>20250002540</v>
      </c>
      <c r="E48" s="125"/>
      <c r="F48" s="1037" t="s">
        <v>5679</v>
      </c>
      <c r="G48" s="125" t="s">
        <v>5680</v>
      </c>
      <c r="H48" s="1037" t="s">
        <v>5681</v>
      </c>
      <c r="I48" s="214" t="s">
        <v>5682</v>
      </c>
      <c r="J48" s="212">
        <v>117.84</v>
      </c>
      <c r="K48" s="125">
        <v>117.84</v>
      </c>
      <c r="L48" s="125">
        <v>5760</v>
      </c>
      <c r="M48" s="125">
        <v>678758</v>
      </c>
      <c r="N48" s="125">
        <v>5760</v>
      </c>
      <c r="O48" s="125">
        <v>622713.76</v>
      </c>
      <c r="P48" s="1037" t="s">
        <v>5683</v>
      </c>
      <c r="Q48" s="168">
        <v>45952</v>
      </c>
      <c r="R48" s="125"/>
      <c r="S48" s="168"/>
      <c r="T48" s="125"/>
      <c r="U48" s="125" t="s">
        <v>408</v>
      </c>
      <c r="V48" s="125">
        <f>80000+258758+20000</f>
        <v>358758</v>
      </c>
      <c r="W48" s="125" t="s">
        <v>3576</v>
      </c>
      <c r="X48" s="125">
        <v>320000</v>
      </c>
      <c r="Y48" s="168">
        <v>45852</v>
      </c>
      <c r="Z48" s="125"/>
      <c r="AA48" s="125"/>
      <c r="AB48" s="125"/>
      <c r="AC48" s="125"/>
      <c r="AD48" s="125"/>
      <c r="AE48" s="125"/>
      <c r="AF48" s="125"/>
      <c r="AG48" s="125"/>
      <c r="AH48" s="206">
        <f t="shared" si="7"/>
        <v>678758</v>
      </c>
      <c r="AK48" s="171">
        <f t="shared" si="5"/>
        <v>0</v>
      </c>
      <c r="AL48" s="125">
        <v>18799808608</v>
      </c>
      <c r="AM48" s="125" t="s">
        <v>5684</v>
      </c>
      <c r="AN48" s="125"/>
      <c r="AO48" s="125">
        <f t="shared" si="6"/>
        <v>678758</v>
      </c>
      <c r="AP48" s="166">
        <f>0.7%+0.03%+0.08%+0.03%</f>
        <v>0.0084</v>
      </c>
      <c r="BC48" s="125">
        <v>358758</v>
      </c>
      <c r="BE48" s="125">
        <v>320000</v>
      </c>
      <c r="BO48" s="125" t="s">
        <v>260</v>
      </c>
      <c r="BQ48" s="125" t="s">
        <v>261</v>
      </c>
    </row>
    <row r="49" s="125" customFormat="1" hidden="1" customHeight="1" spans="1:72">
      <c r="A49" s="125">
        <v>26</v>
      </c>
      <c r="B49" s="125"/>
      <c r="C49" s="210">
        <v>45705</v>
      </c>
      <c r="D49" s="125">
        <v>20250000680</v>
      </c>
      <c r="F49" s="125" t="s">
        <v>5685</v>
      </c>
      <c r="G49" s="125" t="s">
        <v>5686</v>
      </c>
      <c r="H49" s="1037" t="s">
        <v>3323</v>
      </c>
      <c r="I49" s="211" t="s">
        <v>5687</v>
      </c>
      <c r="J49" s="212">
        <v>117.84</v>
      </c>
      <c r="K49" s="125">
        <v>117.84</v>
      </c>
      <c r="L49" s="125">
        <v>5643.25</v>
      </c>
      <c r="M49" s="125">
        <v>665000</v>
      </c>
      <c r="N49" s="125">
        <v>5643.25</v>
      </c>
      <c r="O49" s="125">
        <v>610091.74</v>
      </c>
      <c r="P49" s="1037" t="s">
        <v>5688</v>
      </c>
      <c r="Q49" s="168">
        <v>45953</v>
      </c>
      <c r="U49" s="125" t="s">
        <v>561</v>
      </c>
      <c r="V49" s="125">
        <v>20000</v>
      </c>
      <c r="W49" s="125" t="s">
        <v>2940</v>
      </c>
      <c r="X49" s="125">
        <v>80000</v>
      </c>
      <c r="Y49" s="125" t="s">
        <v>3419</v>
      </c>
      <c r="Z49" s="125">
        <v>565000</v>
      </c>
      <c r="AA49" s="125" t="s">
        <v>3289</v>
      </c>
      <c r="AH49" s="206">
        <f t="shared" si="7"/>
        <v>665000</v>
      </c>
      <c r="AK49" s="171">
        <f t="shared" si="5"/>
        <v>0</v>
      </c>
      <c r="AL49" s="125">
        <v>18199232764</v>
      </c>
      <c r="AM49" s="125" t="s">
        <v>3284</v>
      </c>
      <c r="AO49" s="125">
        <f t="shared" si="6"/>
        <v>665000</v>
      </c>
      <c r="AP49" s="172">
        <f>0.7%+0.03%+0.12%+0.03%</f>
        <v>0.0088</v>
      </c>
      <c r="AZ49" s="125">
        <v>100000</v>
      </c>
      <c r="BA49" s="125">
        <v>565000</v>
      </c>
      <c r="BO49" s="125" t="s">
        <v>260</v>
      </c>
      <c r="BQ49" s="125" t="s">
        <v>261</v>
      </c>
    </row>
    <row r="50" s="125" customFormat="1" ht="33" hidden="1" customHeight="1" spans="1:72">
      <c r="A50" s="125">
        <v>27</v>
      </c>
      <c r="B50" s="125"/>
      <c r="C50" s="210">
        <v>45674</v>
      </c>
      <c r="D50" s="125">
        <v>20250000319</v>
      </c>
      <c r="F50" s="1037" t="s">
        <v>5689</v>
      </c>
      <c r="G50" s="175" t="s">
        <v>5690</v>
      </c>
      <c r="H50" s="1037" t="s">
        <v>5691</v>
      </c>
      <c r="I50" s="214" t="s">
        <v>5692</v>
      </c>
      <c r="J50" s="212">
        <v>117.84</v>
      </c>
      <c r="K50" s="125">
        <v>117.84</v>
      </c>
      <c r="L50" s="125">
        <v>5832.7</v>
      </c>
      <c r="M50" s="125">
        <v>687326</v>
      </c>
      <c r="N50" s="125">
        <v>5685.675</v>
      </c>
      <c r="O50" s="125">
        <v>630574.31</v>
      </c>
      <c r="P50" s="1037" t="s">
        <v>5693</v>
      </c>
      <c r="Q50" s="168">
        <v>45952</v>
      </c>
      <c r="R50" s="125"/>
      <c r="S50" s="168"/>
      <c r="U50" s="125" t="s">
        <v>257</v>
      </c>
      <c r="V50" s="125">
        <f>100000+37326+20000</f>
        <v>157326</v>
      </c>
      <c r="W50" s="168" t="s">
        <v>4578</v>
      </c>
      <c r="X50" s="125">
        <v>530000</v>
      </c>
      <c r="Y50" s="168">
        <v>45954</v>
      </c>
      <c r="AH50" s="206">
        <f t="shared" si="7"/>
        <v>687326</v>
      </c>
      <c r="AK50" s="171">
        <f t="shared" ref="AK50:AK53" si="8">M50-AH50</f>
        <v>0</v>
      </c>
      <c r="AL50" s="125">
        <v>13579912750</v>
      </c>
      <c r="AO50" s="125">
        <f t="shared" si="6"/>
        <v>687326</v>
      </c>
      <c r="AP50" s="166">
        <f>0.7%+0.05%+0.1%+0.03%</f>
        <v>0.0088</v>
      </c>
      <c r="AY50" s="125">
        <v>157326</v>
      </c>
      <c r="BH50" s="125">
        <v>530000</v>
      </c>
      <c r="BL50" s="155"/>
      <c r="BO50" s="125" t="s">
        <v>260</v>
      </c>
      <c r="BQ50" s="125" t="s">
        <v>261</v>
      </c>
    </row>
    <row r="51" s="125" customFormat="1" hidden="1" customHeight="1" spans="1:72">
      <c r="A51" s="125">
        <v>28</v>
      </c>
      <c r="B51" s="125"/>
      <c r="C51" s="210">
        <v>45566</v>
      </c>
      <c r="D51" s="125">
        <v>20240005587</v>
      </c>
      <c r="F51" s="1037" t="s">
        <v>5694</v>
      </c>
      <c r="G51" s="125" t="s">
        <v>5695</v>
      </c>
      <c r="I51" s="214" t="s">
        <v>5696</v>
      </c>
      <c r="J51" s="212">
        <v>117.84</v>
      </c>
      <c r="K51" s="125">
        <v>117.84</v>
      </c>
      <c r="L51" s="125">
        <v>5600.81</v>
      </c>
      <c r="M51" s="125">
        <v>660000</v>
      </c>
      <c r="N51" s="125">
        <v>5600.816</v>
      </c>
      <c r="O51" s="125">
        <v>605504.59</v>
      </c>
      <c r="P51" s="1037" t="s">
        <v>5697</v>
      </c>
      <c r="Q51" s="168">
        <v>45953</v>
      </c>
      <c r="S51" s="168"/>
      <c r="U51" s="125" t="s">
        <v>2160</v>
      </c>
      <c r="V51" s="125">
        <v>10000</v>
      </c>
      <c r="W51" s="168">
        <v>45542</v>
      </c>
      <c r="X51" s="125">
        <v>130000</v>
      </c>
      <c r="Y51" s="168" t="s">
        <v>258</v>
      </c>
      <c r="Z51" s="125">
        <v>520000</v>
      </c>
      <c r="AA51" s="168" t="s">
        <v>657</v>
      </c>
      <c r="AH51" s="206">
        <f t="shared" si="7"/>
        <v>660000</v>
      </c>
      <c r="AK51" s="171">
        <f t="shared" si="8"/>
        <v>0</v>
      </c>
      <c r="AL51" s="125">
        <v>18997601601</v>
      </c>
      <c r="AM51" s="125" t="s">
        <v>5698</v>
      </c>
      <c r="AO51" s="125">
        <f t="shared" si="6"/>
        <v>660000</v>
      </c>
      <c r="AP51" s="166">
        <f>0.7%+0.04%+0.12%+0.03%</f>
        <v>0.0089</v>
      </c>
      <c r="AY51" s="125">
        <v>660000</v>
      </c>
      <c r="BO51" s="125" t="s">
        <v>260</v>
      </c>
      <c r="BQ51" s="125" t="s">
        <v>261</v>
      </c>
    </row>
    <row r="52" s="125" customFormat="1" hidden="1" customHeight="1" spans="1:72">
      <c r="A52" s="125">
        <v>29</v>
      </c>
      <c r="B52" s="125"/>
      <c r="C52" s="210">
        <v>45642</v>
      </c>
      <c r="D52" s="125">
        <v>20240007256</v>
      </c>
      <c r="F52" s="1037" t="s">
        <v>5699</v>
      </c>
      <c r="G52" s="125" t="s">
        <v>5700</v>
      </c>
      <c r="H52" s="1037" t="s">
        <v>5701</v>
      </c>
      <c r="I52" s="214" t="s">
        <v>5702</v>
      </c>
      <c r="J52" s="212">
        <v>117.84</v>
      </c>
      <c r="K52" s="125">
        <v>117.84</v>
      </c>
      <c r="L52" s="125">
        <v>5515.95</v>
      </c>
      <c r="M52" s="125">
        <v>650000</v>
      </c>
      <c r="N52" s="125">
        <v>5865.49</v>
      </c>
      <c r="O52" s="125">
        <v>596330.28</v>
      </c>
      <c r="P52" s="1037" t="s">
        <v>5703</v>
      </c>
      <c r="Q52" s="168">
        <v>45952</v>
      </c>
      <c r="U52" s="125" t="s">
        <v>380</v>
      </c>
      <c r="V52" s="125">
        <v>20000</v>
      </c>
      <c r="W52" s="125" t="s">
        <v>3367</v>
      </c>
      <c r="X52" s="125">
        <v>280000</v>
      </c>
      <c r="Y52" s="125" t="s">
        <v>848</v>
      </c>
      <c r="Z52" s="125">
        <v>350000</v>
      </c>
      <c r="AA52" s="125" t="s">
        <v>3282</v>
      </c>
      <c r="AH52" s="206">
        <f t="shared" si="7"/>
        <v>650000</v>
      </c>
      <c r="AK52" s="171">
        <f t="shared" si="8"/>
        <v>0</v>
      </c>
      <c r="AL52" s="125">
        <v>13667548933</v>
      </c>
      <c r="AM52" s="125" t="s">
        <v>3369</v>
      </c>
      <c r="AO52" s="125">
        <f t="shared" si="6"/>
        <v>650000</v>
      </c>
      <c r="AP52" s="222">
        <f>0.6%+0.03%+0.08%+0.03%</f>
        <v>0.0074</v>
      </c>
      <c r="AX52" s="125">
        <v>650000</v>
      </c>
      <c r="BO52" s="125" t="s">
        <v>260</v>
      </c>
      <c r="BQ52" s="125" t="s">
        <v>261</v>
      </c>
    </row>
    <row r="53" s="125" customFormat="1" hidden="1" customHeight="1" spans="1:72">
      <c r="A53" s="125">
        <v>30</v>
      </c>
      <c r="B53" s="125"/>
      <c r="C53" s="210">
        <v>45646</v>
      </c>
      <c r="D53" s="125">
        <v>20240007357</v>
      </c>
      <c r="F53" s="1037" t="s">
        <v>5704</v>
      </c>
      <c r="G53" s="125" t="s">
        <v>5535</v>
      </c>
      <c r="I53" s="211" t="s">
        <v>5705</v>
      </c>
      <c r="J53" s="212">
        <v>117.84</v>
      </c>
      <c r="K53" s="125">
        <v>117.84</v>
      </c>
      <c r="L53" s="125">
        <f>M53/K53</f>
        <v>5855.39714867617</v>
      </c>
      <c r="M53" s="125">
        <v>690000</v>
      </c>
      <c r="N53" s="125">
        <v>5846.49</v>
      </c>
      <c r="O53" s="125">
        <v>633027.52</v>
      </c>
      <c r="P53" s="1037" t="s">
        <v>5706</v>
      </c>
      <c r="Q53" s="168">
        <v>45952</v>
      </c>
      <c r="U53" s="125" t="s">
        <v>408</v>
      </c>
      <c r="V53" s="125">
        <v>20000</v>
      </c>
      <c r="W53" s="125" t="s">
        <v>5707</v>
      </c>
      <c r="X53" s="125">
        <v>670000</v>
      </c>
      <c r="Y53" s="125" t="s">
        <v>409</v>
      </c>
      <c r="AH53" s="206">
        <f t="shared" si="7"/>
        <v>690000</v>
      </c>
      <c r="AK53" s="171">
        <f t="shared" si="8"/>
        <v>0</v>
      </c>
      <c r="AM53" s="125" t="s">
        <v>4559</v>
      </c>
      <c r="AO53" s="125">
        <f t="shared" si="6"/>
        <v>690000</v>
      </c>
      <c r="AP53" s="166">
        <f>0.6%+0.02%+0.08%+0.03%</f>
        <v>0.0073</v>
      </c>
      <c r="AX53" s="125">
        <v>690000</v>
      </c>
      <c r="BO53" s="125" t="s">
        <v>260</v>
      </c>
      <c r="BQ53" s="125" t="s">
        <v>261</v>
      </c>
    </row>
    <row r="54" s="125" customFormat="1" hidden="1" customHeight="1" spans="1:72">
      <c r="A54" s="125">
        <v>31</v>
      </c>
      <c r="C54" s="210">
        <v>45414</v>
      </c>
      <c r="D54" s="125">
        <v>20240002496</v>
      </c>
      <c r="F54" s="1037" t="s">
        <v>5708</v>
      </c>
      <c r="G54" s="125" t="s">
        <v>5709</v>
      </c>
      <c r="H54" s="1037" t="s">
        <v>5710</v>
      </c>
      <c r="I54" s="211" t="s">
        <v>5711</v>
      </c>
      <c r="J54" s="212">
        <v>117.84</v>
      </c>
      <c r="K54" s="125">
        <v>117.84</v>
      </c>
      <c r="L54" s="125">
        <v>5939.84</v>
      </c>
      <c r="M54" s="125">
        <v>699951</v>
      </c>
      <c r="N54" s="125">
        <v>5939.84</v>
      </c>
      <c r="O54" s="125">
        <v>642156.88</v>
      </c>
      <c r="P54" s="1037" t="s">
        <v>5712</v>
      </c>
      <c r="Q54" s="168">
        <v>45952</v>
      </c>
      <c r="U54" s="125" t="s">
        <v>284</v>
      </c>
      <c r="V54" s="223">
        <v>20000</v>
      </c>
      <c r="W54" s="224" t="s">
        <v>3933</v>
      </c>
      <c r="X54" s="125">
        <v>76951</v>
      </c>
      <c r="Y54" s="125" t="s">
        <v>3745</v>
      </c>
      <c r="Z54" s="125">
        <v>53000</v>
      </c>
      <c r="AA54" s="125" t="s">
        <v>716</v>
      </c>
      <c r="AB54" s="125">
        <v>550000</v>
      </c>
      <c r="AC54" s="125" t="s">
        <v>4828</v>
      </c>
      <c r="AH54" s="206">
        <f t="shared" si="7"/>
        <v>699951</v>
      </c>
      <c r="AK54" s="171">
        <f t="shared" ref="AK54:AK75" si="9">M54-AH54</f>
        <v>0</v>
      </c>
      <c r="AL54" s="125">
        <v>15276466926</v>
      </c>
      <c r="AO54" s="125">
        <f t="shared" si="6"/>
        <v>699951</v>
      </c>
      <c r="AP54" s="166">
        <f>0.7%+0.03%+0.12%</f>
        <v>0.0085</v>
      </c>
      <c r="AR54" s="125">
        <v>149951</v>
      </c>
      <c r="AS54" s="125">
        <v>550000</v>
      </c>
      <c r="BO54" s="125" t="s">
        <v>260</v>
      </c>
      <c r="BP54" s="125" t="s">
        <v>271</v>
      </c>
      <c r="BQ54" s="125" t="s">
        <v>261</v>
      </c>
    </row>
    <row r="55" s="125" customFormat="1" hidden="1" customHeight="1" spans="1:72">
      <c r="A55" s="125">
        <v>32</v>
      </c>
      <c r="C55" s="210">
        <v>45415</v>
      </c>
      <c r="D55" s="125">
        <v>20240002507</v>
      </c>
      <c r="F55" s="1037" t="s">
        <v>5713</v>
      </c>
      <c r="G55" s="125" t="s">
        <v>5714</v>
      </c>
      <c r="H55" s="1037" t="s">
        <v>5715</v>
      </c>
      <c r="I55" s="214" t="s">
        <v>5716</v>
      </c>
      <c r="J55" s="212">
        <v>117.84</v>
      </c>
      <c r="K55" s="125">
        <v>117.84</v>
      </c>
      <c r="L55" s="125">
        <v>5920.84</v>
      </c>
      <c r="M55" s="125">
        <v>697712</v>
      </c>
      <c r="N55" s="125">
        <v>5920.84</v>
      </c>
      <c r="O55" s="125">
        <v>640102.75</v>
      </c>
      <c r="P55" s="1037" t="s">
        <v>5717</v>
      </c>
      <c r="Q55" s="168">
        <v>45952</v>
      </c>
      <c r="T55" s="1037" t="s">
        <v>4968</v>
      </c>
      <c r="U55" s="125" t="s">
        <v>722</v>
      </c>
      <c r="V55" s="125">
        <v>2000</v>
      </c>
      <c r="W55" s="125" t="s">
        <v>269</v>
      </c>
      <c r="X55" s="125">
        <v>18000</v>
      </c>
      <c r="Y55" s="125" t="s">
        <v>4199</v>
      </c>
      <c r="Z55" s="125">
        <v>119712</v>
      </c>
      <c r="AA55" s="125" t="s">
        <v>964</v>
      </c>
      <c r="AB55" s="125">
        <v>558000</v>
      </c>
      <c r="AC55" s="125" t="s">
        <v>5718</v>
      </c>
      <c r="AH55" s="206">
        <f t="shared" si="7"/>
        <v>697712</v>
      </c>
      <c r="AK55" s="171">
        <f t="shared" si="9"/>
        <v>0</v>
      </c>
      <c r="AL55" s="125">
        <v>18193556127</v>
      </c>
      <c r="AO55" s="125">
        <f t="shared" si="6"/>
        <v>697712</v>
      </c>
      <c r="AP55" s="166">
        <f>0.4%+0.12%</f>
        <v>0.0052</v>
      </c>
      <c r="AQ55" s="125">
        <v>139712</v>
      </c>
      <c r="AV55" s="125">
        <v>558000</v>
      </c>
      <c r="BO55" s="125" t="s">
        <v>260</v>
      </c>
      <c r="BP55" s="125" t="s">
        <v>271</v>
      </c>
      <c r="BQ55" s="125" t="s">
        <v>261</v>
      </c>
    </row>
    <row r="56" s="125" customFormat="1" hidden="1" customHeight="1" spans="1:72">
      <c r="A56" s="125">
        <v>33</v>
      </c>
      <c r="C56" s="210">
        <v>45416</v>
      </c>
      <c r="D56" s="125">
        <v>20240002528</v>
      </c>
      <c r="F56" s="1037" t="s">
        <v>5719</v>
      </c>
      <c r="G56" s="125" t="s">
        <v>5544</v>
      </c>
      <c r="I56" s="211" t="s">
        <v>5720</v>
      </c>
      <c r="J56" s="212">
        <v>117.84</v>
      </c>
      <c r="K56" s="125">
        <v>117.84</v>
      </c>
      <c r="L56" s="125">
        <f>M56/K56</f>
        <v>5982.6883910387</v>
      </c>
      <c r="M56" s="125">
        <v>705000</v>
      </c>
      <c r="N56" s="125">
        <v>5982.69</v>
      </c>
      <c r="O56" s="125">
        <v>646788.99</v>
      </c>
      <c r="P56" s="1037" t="s">
        <v>5721</v>
      </c>
      <c r="Q56" s="168">
        <v>45952</v>
      </c>
      <c r="S56" s="168"/>
      <c r="U56" s="125" t="s">
        <v>294</v>
      </c>
      <c r="V56" s="125">
        <v>2000</v>
      </c>
      <c r="W56" s="125" t="s">
        <v>4567</v>
      </c>
      <c r="X56" s="125">
        <v>18000</v>
      </c>
      <c r="Y56" s="125" t="s">
        <v>4199</v>
      </c>
      <c r="Z56" s="125">
        <v>335000</v>
      </c>
      <c r="AA56" s="125" t="s">
        <v>708</v>
      </c>
      <c r="AB56" s="125">
        <v>50000</v>
      </c>
      <c r="AC56" s="125" t="s">
        <v>670</v>
      </c>
      <c r="AD56" s="125">
        <v>50000</v>
      </c>
      <c r="AE56" s="125" t="s">
        <v>5149</v>
      </c>
      <c r="AF56" s="125">
        <f>100000+50000+100000</f>
        <v>250000</v>
      </c>
      <c r="AG56" s="184" t="s">
        <v>5722</v>
      </c>
      <c r="AH56" s="206">
        <f t="shared" si="7"/>
        <v>705000</v>
      </c>
      <c r="AK56" s="171">
        <f t="shared" si="9"/>
        <v>0</v>
      </c>
      <c r="AL56" s="125">
        <v>15099978299</v>
      </c>
      <c r="AO56" s="125">
        <f t="shared" si="6"/>
        <v>705000</v>
      </c>
      <c r="AP56" s="166">
        <f>0.7%+0.12%</f>
        <v>0.0082</v>
      </c>
      <c r="AX56" s="125">
        <v>705000</v>
      </c>
      <c r="BO56" s="125" t="s">
        <v>260</v>
      </c>
      <c r="BQ56" s="125" t="s">
        <v>261</v>
      </c>
    </row>
    <row r="57" s="125" customFormat="1" hidden="1" customHeight="1" spans="1:72">
      <c r="A57" s="125">
        <v>34</v>
      </c>
      <c r="C57" s="210">
        <v>45539</v>
      </c>
      <c r="D57" s="125">
        <v>20240005079</v>
      </c>
      <c r="F57" s="1037" t="s">
        <v>5723</v>
      </c>
      <c r="G57" s="125" t="s">
        <v>5724</v>
      </c>
      <c r="H57" s="1037" t="s">
        <v>5635</v>
      </c>
      <c r="I57" s="214" t="s">
        <v>5725</v>
      </c>
      <c r="J57" s="225">
        <v>117.84</v>
      </c>
      <c r="K57" s="125">
        <v>117.84</v>
      </c>
      <c r="L57" s="125">
        <f>M57/K57</f>
        <v>5689.75729803123</v>
      </c>
      <c r="M57" s="125">
        <v>670481</v>
      </c>
      <c r="N57" s="125">
        <v>5689.76</v>
      </c>
      <c r="O57" s="125">
        <v>615120.18</v>
      </c>
      <c r="P57" s="1037" t="s">
        <v>5726</v>
      </c>
      <c r="Q57" s="168">
        <v>45952</v>
      </c>
      <c r="S57" s="168"/>
      <c r="U57" s="125" t="s">
        <v>257</v>
      </c>
      <c r="V57" s="125">
        <v>20000</v>
      </c>
      <c r="W57" s="125" t="s">
        <v>5727</v>
      </c>
      <c r="X57" s="125">
        <v>80000</v>
      </c>
      <c r="Y57" s="125" t="s">
        <v>1118</v>
      </c>
      <c r="Z57" s="125">
        <v>40481</v>
      </c>
      <c r="AA57" s="168">
        <v>45539</v>
      </c>
      <c r="AB57" s="125">
        <v>530000</v>
      </c>
      <c r="AC57" s="168" t="s">
        <v>3484</v>
      </c>
      <c r="AH57" s="206">
        <f t="shared" si="7"/>
        <v>670481</v>
      </c>
      <c r="AK57" s="171">
        <f t="shared" si="9"/>
        <v>0</v>
      </c>
      <c r="AL57" s="125">
        <v>17393381950</v>
      </c>
      <c r="AM57" s="125" t="s">
        <v>5728</v>
      </c>
      <c r="AO57" s="125">
        <f t="shared" si="6"/>
        <v>670480</v>
      </c>
      <c r="AP57" s="226">
        <f>0.7%+0.04%+0.08%</f>
        <v>0.0082</v>
      </c>
      <c r="AU57" s="125">
        <v>140480</v>
      </c>
      <c r="BA57" s="125">
        <v>530000</v>
      </c>
      <c r="BO57" s="125" t="s">
        <v>260</v>
      </c>
      <c r="BQ57" s="125" t="s">
        <v>261</v>
      </c>
    </row>
    <row r="58" s="125" customFormat="1" hidden="1" customHeight="1" spans="1:72">
      <c r="A58" s="125">
        <v>35</v>
      </c>
      <c r="C58" s="210">
        <v>45568</v>
      </c>
      <c r="D58" s="125">
        <v>20240005742</v>
      </c>
      <c r="F58" s="1037" t="s">
        <v>5729</v>
      </c>
      <c r="G58" s="125" t="s">
        <v>5548</v>
      </c>
      <c r="I58" s="211" t="s">
        <v>5730</v>
      </c>
      <c r="J58" s="212">
        <v>117.84</v>
      </c>
      <c r="K58" s="125">
        <v>117.84</v>
      </c>
      <c r="L58" s="125">
        <v>5770.54</v>
      </c>
      <c r="M58" s="125">
        <v>680000</v>
      </c>
      <c r="N58" s="125">
        <v>6057.67</v>
      </c>
      <c r="O58" s="125">
        <v>623853.21</v>
      </c>
      <c r="P58" s="1037" t="s">
        <v>5731</v>
      </c>
      <c r="Q58" s="168">
        <v>45952</v>
      </c>
      <c r="U58" s="125" t="s">
        <v>294</v>
      </c>
      <c r="V58" s="125">
        <v>20000</v>
      </c>
      <c r="W58" s="125" t="s">
        <v>1048</v>
      </c>
      <c r="X58" s="125">
        <v>660000</v>
      </c>
      <c r="Y58" s="125" t="s">
        <v>770</v>
      </c>
      <c r="AH58" s="206">
        <f t="shared" si="7"/>
        <v>680000</v>
      </c>
      <c r="AK58" s="171">
        <f t="shared" si="9"/>
        <v>0</v>
      </c>
      <c r="AL58" s="125">
        <v>18999006655</v>
      </c>
      <c r="AM58" s="125" t="s">
        <v>3467</v>
      </c>
      <c r="AO58" s="125">
        <f t="shared" si="6"/>
        <v>680000</v>
      </c>
      <c r="AP58" s="177">
        <f>0.7%+0.08%</f>
        <v>0.0078</v>
      </c>
      <c r="AW58" s="125">
        <v>680000</v>
      </c>
      <c r="BO58" s="125" t="s">
        <v>260</v>
      </c>
      <c r="BQ58" s="125" t="s">
        <v>261</v>
      </c>
    </row>
    <row r="59" s="125" customFormat="1" hidden="1" customHeight="1" spans="1:72">
      <c r="A59" s="125">
        <v>36</v>
      </c>
      <c r="C59" s="210">
        <v>45527</v>
      </c>
      <c r="D59" s="125">
        <v>20240004830</v>
      </c>
      <c r="F59" s="1037" t="s">
        <v>5732</v>
      </c>
      <c r="G59" s="125" t="s">
        <v>5733</v>
      </c>
      <c r="H59" s="1037" t="s">
        <v>5734</v>
      </c>
      <c r="I59" s="214" t="s">
        <v>5735</v>
      </c>
      <c r="J59" s="212">
        <v>117.84</v>
      </c>
      <c r="K59" s="125">
        <v>117.84</v>
      </c>
      <c r="L59" s="227">
        <v>5855.4</v>
      </c>
      <c r="M59" s="125">
        <v>690000</v>
      </c>
      <c r="N59" s="125">
        <v>5855.4</v>
      </c>
      <c r="O59" s="125">
        <v>633027.52</v>
      </c>
      <c r="P59" s="175" t="s">
        <v>5736</v>
      </c>
      <c r="Q59" s="168">
        <v>45952</v>
      </c>
      <c r="S59" s="168"/>
      <c r="U59" s="125" t="s">
        <v>2160</v>
      </c>
      <c r="V59" s="125">
        <v>24000</v>
      </c>
      <c r="W59" s="125" t="s">
        <v>3934</v>
      </c>
      <c r="X59" s="125">
        <v>36000</v>
      </c>
      <c r="Y59" s="125" t="s">
        <v>5592</v>
      </c>
      <c r="Z59" s="125">
        <v>580000</v>
      </c>
      <c r="AA59" s="168">
        <v>45549</v>
      </c>
      <c r="AB59" s="125">
        <v>50000</v>
      </c>
      <c r="AC59" s="168" t="s">
        <v>779</v>
      </c>
      <c r="AH59" s="206">
        <f t="shared" si="7"/>
        <v>690000</v>
      </c>
      <c r="AK59" s="171">
        <f t="shared" si="9"/>
        <v>0</v>
      </c>
      <c r="AL59" s="125">
        <v>18160282158</v>
      </c>
      <c r="AM59" s="125" t="s">
        <v>5737</v>
      </c>
      <c r="AO59" s="125">
        <f t="shared" si="6"/>
        <v>690000</v>
      </c>
      <c r="AP59" s="166">
        <f>0.5%+0.02%+0.08%</f>
        <v>0.006</v>
      </c>
      <c r="AW59" s="125">
        <v>690000</v>
      </c>
      <c r="BO59" s="125" t="s">
        <v>260</v>
      </c>
      <c r="BQ59" s="125" t="s">
        <v>261</v>
      </c>
    </row>
    <row r="60" s="125" customFormat="1" hidden="1" customHeight="1" spans="1:72">
      <c r="A60" s="125">
        <v>37</v>
      </c>
      <c r="C60" s="210">
        <v>45511</v>
      </c>
      <c r="D60" s="125">
        <v>20240004552</v>
      </c>
      <c r="F60" s="125" t="s">
        <v>5738</v>
      </c>
      <c r="G60" s="125" t="s">
        <v>5739</v>
      </c>
      <c r="H60" s="1037" t="s">
        <v>5740</v>
      </c>
      <c r="I60" s="211" t="s">
        <v>5741</v>
      </c>
      <c r="J60" s="212">
        <v>117.84</v>
      </c>
      <c r="K60" s="125">
        <v>117.84</v>
      </c>
      <c r="L60" s="125">
        <f>M60/K60</f>
        <v>5984.83536999321</v>
      </c>
      <c r="M60" s="125">
        <v>705253</v>
      </c>
      <c r="N60" s="125">
        <v>5984.835</v>
      </c>
      <c r="O60" s="125">
        <v>647021.1</v>
      </c>
      <c r="P60" s="1037" t="s">
        <v>5742</v>
      </c>
      <c r="Q60" s="168">
        <v>45952</v>
      </c>
      <c r="S60" s="168"/>
      <c r="U60" s="125" t="s">
        <v>370</v>
      </c>
      <c r="V60" s="125">
        <v>20000</v>
      </c>
      <c r="W60" s="125" t="s">
        <v>4365</v>
      </c>
      <c r="X60" s="125">
        <v>285253</v>
      </c>
      <c r="Y60" s="125" t="s">
        <v>5743</v>
      </c>
      <c r="Z60" s="125">
        <v>400000</v>
      </c>
      <c r="AA60" s="168">
        <v>45549</v>
      </c>
      <c r="AH60" s="206">
        <f t="shared" si="7"/>
        <v>705253</v>
      </c>
      <c r="AK60" s="171">
        <f t="shared" si="9"/>
        <v>0</v>
      </c>
      <c r="AL60" s="125">
        <v>17361568014</v>
      </c>
      <c r="AM60" s="125" t="s">
        <v>4542</v>
      </c>
      <c r="AO60" s="125">
        <f t="shared" si="6"/>
        <v>705253</v>
      </c>
      <c r="AP60" s="177">
        <f>0.7%+0.02%+0.08%</f>
        <v>0.008</v>
      </c>
      <c r="AT60" s="125">
        <v>305253</v>
      </c>
      <c r="AU60" s="125">
        <v>400000</v>
      </c>
      <c r="BO60" s="125" t="s">
        <v>260</v>
      </c>
      <c r="BQ60" s="125" t="s">
        <v>261</v>
      </c>
    </row>
    <row r="61" s="125" customFormat="1" hidden="1" customHeight="1" spans="1:72">
      <c r="A61" s="125">
        <v>38</v>
      </c>
      <c r="C61" s="210">
        <v>45477</v>
      </c>
      <c r="D61" s="125">
        <v>20240003835</v>
      </c>
      <c r="F61" s="1037" t="s">
        <v>5744</v>
      </c>
      <c r="G61" s="125" t="s">
        <v>5745</v>
      </c>
      <c r="H61" s="1037" t="s">
        <v>5746</v>
      </c>
      <c r="I61" s="214" t="s">
        <v>5747</v>
      </c>
      <c r="J61" s="212">
        <v>117.84</v>
      </c>
      <c r="K61" s="125">
        <v>117.84</v>
      </c>
      <c r="L61" s="125">
        <v>5900</v>
      </c>
      <c r="M61" s="125">
        <f>L61*K61</f>
        <v>695256</v>
      </c>
      <c r="N61" s="125">
        <v>5900</v>
      </c>
      <c r="O61" s="125">
        <v>637849.54</v>
      </c>
      <c r="P61" s="1037" t="s">
        <v>5748</v>
      </c>
      <c r="Q61" s="168">
        <v>45952</v>
      </c>
      <c r="U61" s="125" t="s">
        <v>370</v>
      </c>
      <c r="V61" s="125">
        <v>5000</v>
      </c>
      <c r="W61" s="125" t="s">
        <v>3325</v>
      </c>
      <c r="X61" s="125">
        <v>140256</v>
      </c>
      <c r="Y61" s="125" t="s">
        <v>5602</v>
      </c>
      <c r="Z61" s="125">
        <v>550000</v>
      </c>
      <c r="AA61" s="125" t="s">
        <v>3838</v>
      </c>
      <c r="AH61" s="206">
        <f t="shared" si="7"/>
        <v>695256</v>
      </c>
      <c r="AK61" s="171">
        <f t="shared" si="9"/>
        <v>0</v>
      </c>
      <c r="AL61" s="125">
        <v>18709962570</v>
      </c>
      <c r="AM61" s="125" t="s">
        <v>5737</v>
      </c>
      <c r="AO61" s="125">
        <f t="shared" si="6"/>
        <v>695256</v>
      </c>
      <c r="AP61" s="169">
        <f>0.7%+0.02%+0.08%</f>
        <v>0.008</v>
      </c>
      <c r="AS61" s="125">
        <v>695256</v>
      </c>
      <c r="BO61" s="125" t="s">
        <v>260</v>
      </c>
      <c r="BP61" s="125" t="s">
        <v>271</v>
      </c>
      <c r="BQ61" s="125" t="s">
        <v>261</v>
      </c>
    </row>
    <row r="62" s="125" customFormat="1" hidden="1" customHeight="1" spans="1:72">
      <c r="A62" s="125">
        <v>39</v>
      </c>
      <c r="B62" s="125"/>
      <c r="C62" s="210">
        <v>45615</v>
      </c>
      <c r="D62" s="125">
        <v>20240006700</v>
      </c>
      <c r="F62" s="1037" t="s">
        <v>5749</v>
      </c>
      <c r="G62" s="125" t="s">
        <v>5750</v>
      </c>
      <c r="I62" s="211" t="s">
        <v>5751</v>
      </c>
      <c r="J62" s="212">
        <v>117.84</v>
      </c>
      <c r="K62" s="125">
        <v>117.84</v>
      </c>
      <c r="L62" s="125">
        <v>5982.69</v>
      </c>
      <c r="M62" s="125">
        <v>705000</v>
      </c>
      <c r="N62" s="125">
        <v>5982.69</v>
      </c>
      <c r="O62" s="125">
        <v>646788.99</v>
      </c>
      <c r="P62" s="1037" t="s">
        <v>5752</v>
      </c>
      <c r="Q62" s="168">
        <v>45952</v>
      </c>
      <c r="S62" s="168"/>
      <c r="U62" s="125" t="s">
        <v>277</v>
      </c>
      <c r="V62" s="125">
        <v>150000</v>
      </c>
      <c r="W62" s="168">
        <v>45542</v>
      </c>
      <c r="X62" s="125">
        <v>200000</v>
      </c>
      <c r="Y62" s="168" t="s">
        <v>391</v>
      </c>
      <c r="Z62" s="125">
        <v>355000</v>
      </c>
      <c r="AA62" s="168" t="s">
        <v>4095</v>
      </c>
      <c r="AH62" s="206">
        <f t="shared" si="7"/>
        <v>705000</v>
      </c>
      <c r="AK62" s="171">
        <f t="shared" si="9"/>
        <v>0</v>
      </c>
      <c r="AL62" s="125">
        <v>18709963278</v>
      </c>
      <c r="AO62" s="125">
        <f t="shared" si="6"/>
        <v>705000</v>
      </c>
      <c r="AP62" s="166">
        <f>0.4%+0.02%+0.1%</f>
        <v>0.0052</v>
      </c>
      <c r="AW62" s="125">
        <v>350000</v>
      </c>
      <c r="AX62" s="125">
        <v>355000</v>
      </c>
      <c r="BO62" s="125" t="s">
        <v>260</v>
      </c>
      <c r="BQ62" s="125" t="s">
        <v>261</v>
      </c>
      <c r="BT62" s="175"/>
    </row>
    <row r="63" s="125" customFormat="1" hidden="1" customHeight="1" spans="1:72">
      <c r="A63" s="125">
        <v>40</v>
      </c>
      <c r="B63" s="125"/>
      <c r="C63" s="210">
        <v>45566</v>
      </c>
      <c r="D63" s="125">
        <v>20240005482</v>
      </c>
      <c r="F63" s="1037" t="s">
        <v>5753</v>
      </c>
      <c r="G63" s="125" t="s">
        <v>5754</v>
      </c>
      <c r="H63" s="1037" t="s">
        <v>5755</v>
      </c>
      <c r="I63" s="214" t="s">
        <v>5756</v>
      </c>
      <c r="J63" s="212">
        <v>117.84</v>
      </c>
      <c r="K63" s="125">
        <v>117.84</v>
      </c>
      <c r="L63" s="125">
        <v>5685.67</v>
      </c>
      <c r="M63" s="125">
        <v>670000</v>
      </c>
      <c r="N63" s="125">
        <v>5685.675</v>
      </c>
      <c r="O63" s="125">
        <v>614678.9</v>
      </c>
      <c r="P63" s="1037" t="s">
        <v>5757</v>
      </c>
      <c r="Q63" s="168">
        <v>45953</v>
      </c>
      <c r="S63" s="168"/>
      <c r="U63" s="125" t="s">
        <v>294</v>
      </c>
      <c r="V63" s="125">
        <v>20000</v>
      </c>
      <c r="W63" s="168">
        <v>45543</v>
      </c>
      <c r="X63" s="125">
        <v>450000</v>
      </c>
      <c r="Y63" s="168">
        <v>45552</v>
      </c>
      <c r="Z63" s="125">
        <v>200000</v>
      </c>
      <c r="AA63" s="168" t="s">
        <v>401</v>
      </c>
      <c r="AH63" s="206">
        <f t="shared" si="7"/>
        <v>670000</v>
      </c>
      <c r="AK63" s="171">
        <f t="shared" si="9"/>
        <v>0</v>
      </c>
      <c r="AL63" s="125">
        <v>18299824155</v>
      </c>
      <c r="AO63" s="125">
        <f t="shared" si="6"/>
        <v>670000</v>
      </c>
      <c r="AP63" s="169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O63" s="125" t="s">
        <v>260</v>
      </c>
      <c r="BQ63" s="125" t="s">
        <v>261</v>
      </c>
    </row>
    <row r="64" s="125" customFormat="1" hidden="1" customHeight="1" spans="1:72">
      <c r="A64" s="125">
        <v>41</v>
      </c>
      <c r="B64" s="125"/>
      <c r="C64" s="210">
        <v>45657</v>
      </c>
      <c r="D64" s="125">
        <v>20240007555</v>
      </c>
      <c r="F64" s="1037" t="s">
        <v>5758</v>
      </c>
      <c r="G64" s="125" t="s">
        <v>5532</v>
      </c>
      <c r="H64" s="1037" t="s">
        <v>5759</v>
      </c>
      <c r="I64" s="211" t="s">
        <v>5760</v>
      </c>
      <c r="J64" s="212">
        <v>117.84</v>
      </c>
      <c r="K64" s="125">
        <v>117.84</v>
      </c>
      <c r="L64" s="125">
        <v>5750</v>
      </c>
      <c r="M64" s="125">
        <v>677580</v>
      </c>
      <c r="N64" s="125">
        <v>6135.49</v>
      </c>
      <c r="O64" s="125">
        <v>621633.03</v>
      </c>
      <c r="P64" s="1037" t="s">
        <v>5761</v>
      </c>
      <c r="Q64" s="168">
        <v>45952</v>
      </c>
      <c r="U64" s="125" t="s">
        <v>722</v>
      </c>
      <c r="V64" s="125">
        <v>20000</v>
      </c>
      <c r="W64" s="125" t="s">
        <v>2126</v>
      </c>
      <c r="X64" s="125">
        <v>117580</v>
      </c>
      <c r="Y64" s="125" t="s">
        <v>3349</v>
      </c>
      <c r="Z64" s="125">
        <v>540000</v>
      </c>
      <c r="AA64" s="125" t="s">
        <v>506</v>
      </c>
      <c r="AH64" s="206">
        <f t="shared" si="7"/>
        <v>677580</v>
      </c>
      <c r="AK64" s="171">
        <f t="shared" si="9"/>
        <v>0</v>
      </c>
      <c r="AL64" s="125">
        <v>13667503926</v>
      </c>
      <c r="AM64" s="125" t="s">
        <v>3362</v>
      </c>
      <c r="AO64" s="125">
        <f t="shared" si="6"/>
        <v>677580</v>
      </c>
      <c r="AP64" s="166">
        <f>0.7%+0.12%+0.03%</f>
        <v>0.0085</v>
      </c>
      <c r="AY64" s="125">
        <v>677580</v>
      </c>
      <c r="BO64" s="125" t="s">
        <v>260</v>
      </c>
      <c r="BQ64" s="125" t="s">
        <v>261</v>
      </c>
    </row>
    <row r="65" s="125" customFormat="1" hidden="1" customHeight="1" spans="1:69">
      <c r="A65" s="125">
        <v>42</v>
      </c>
      <c r="B65" s="125"/>
      <c r="C65" s="210">
        <v>45656</v>
      </c>
      <c r="D65" s="125">
        <v>20240007531</v>
      </c>
      <c r="F65" s="1037" t="s">
        <v>5762</v>
      </c>
      <c r="G65" s="125" t="s">
        <v>5763</v>
      </c>
      <c r="H65" s="1037" t="s">
        <v>5764</v>
      </c>
      <c r="I65" s="214" t="s">
        <v>5765</v>
      </c>
      <c r="J65" s="212">
        <v>117.84</v>
      </c>
      <c r="K65" s="125">
        <v>117.84</v>
      </c>
      <c r="L65" s="125">
        <v>5685.68</v>
      </c>
      <c r="M65" s="125">
        <v>670000</v>
      </c>
      <c r="N65" s="125">
        <v>6116.49</v>
      </c>
      <c r="O65" s="125">
        <v>614678.9</v>
      </c>
      <c r="P65" s="1037" t="s">
        <v>5766</v>
      </c>
      <c r="Q65" s="168">
        <v>45952</v>
      </c>
      <c r="U65" s="125" t="s">
        <v>267</v>
      </c>
      <c r="V65" s="125">
        <v>20000</v>
      </c>
      <c r="W65" s="125" t="s">
        <v>3281</v>
      </c>
      <c r="X65" s="125">
        <v>80000</v>
      </c>
      <c r="Y65" s="125" t="s">
        <v>3473</v>
      </c>
      <c r="Z65" s="125">
        <v>70000</v>
      </c>
      <c r="AA65" s="125" t="s">
        <v>2126</v>
      </c>
      <c r="AB65" s="125">
        <v>500000</v>
      </c>
      <c r="AC65" s="125" t="s">
        <v>3412</v>
      </c>
      <c r="AH65" s="206">
        <f t="shared" si="7"/>
        <v>670000</v>
      </c>
      <c r="AK65" s="171">
        <f t="shared" si="9"/>
        <v>0</v>
      </c>
      <c r="AL65" s="125">
        <v>15276242663</v>
      </c>
      <c r="AM65" s="125" t="s">
        <v>3369</v>
      </c>
      <c r="AO65" s="125">
        <f t="shared" si="6"/>
        <v>670000</v>
      </c>
      <c r="AP65" s="166">
        <f>0.6%+0.08%+0.03%</f>
        <v>0.0071</v>
      </c>
      <c r="AX65" s="125">
        <v>170000</v>
      </c>
      <c r="AY65" s="125">
        <v>500000</v>
      </c>
      <c r="BO65" s="125" t="s">
        <v>260</v>
      </c>
      <c r="BQ65" s="125" t="s">
        <v>261</v>
      </c>
    </row>
    <row r="66" s="107" customFormat="1" hidden="1" customHeight="1" spans="1:69">
      <c r="A66" s="107">
        <v>43</v>
      </c>
      <c r="C66" s="228"/>
      <c r="I66" s="229" t="s">
        <v>5767</v>
      </c>
      <c r="J66" s="230">
        <v>117.84</v>
      </c>
      <c r="N66" s="107">
        <v>7141.6</v>
      </c>
      <c r="AH66" s="194">
        <f t="shared" si="7"/>
        <v>0</v>
      </c>
      <c r="AK66" s="171">
        <f t="shared" si="9"/>
        <v>0</v>
      </c>
      <c r="AO66" s="125">
        <f t="shared" si="6"/>
        <v>0</v>
      </c>
    </row>
    <row r="67" s="107" customFormat="1" hidden="1" customHeight="1" spans="1:69">
      <c r="A67" s="107">
        <v>44</v>
      </c>
      <c r="C67" s="228"/>
      <c r="I67" s="231" t="s">
        <v>5768</v>
      </c>
      <c r="J67" s="230">
        <v>117.84</v>
      </c>
      <c r="N67" s="107">
        <v>7124.6</v>
      </c>
      <c r="AH67" s="194">
        <f t="shared" si="7"/>
        <v>0</v>
      </c>
      <c r="AK67" s="171">
        <f t="shared" si="9"/>
        <v>0</v>
      </c>
      <c r="AO67" s="125">
        <f t="shared" si="6"/>
        <v>0</v>
      </c>
    </row>
    <row r="68" s="125" customFormat="1" hidden="1" customHeight="1" spans="1:69">
      <c r="A68" s="125">
        <v>45</v>
      </c>
      <c r="B68" s="125"/>
      <c r="C68" s="210">
        <v>45711</v>
      </c>
      <c r="D68" s="125">
        <v>20250000788</v>
      </c>
      <c r="F68" s="1037" t="s">
        <v>5769</v>
      </c>
      <c r="G68" s="125" t="s">
        <v>5770</v>
      </c>
      <c r="I68" s="211" t="s">
        <v>5771</v>
      </c>
      <c r="J68" s="212">
        <v>119.74</v>
      </c>
      <c r="K68" s="125">
        <v>119.74</v>
      </c>
      <c r="L68" s="125">
        <v>8100.89</v>
      </c>
      <c r="M68" s="125">
        <v>970000</v>
      </c>
      <c r="N68" s="125">
        <v>8100.89</v>
      </c>
      <c r="O68" s="125">
        <v>889908.26</v>
      </c>
      <c r="P68" s="1037" t="s">
        <v>5772</v>
      </c>
      <c r="Q68" s="168">
        <v>45953</v>
      </c>
      <c r="V68" s="125">
        <v>1000</v>
      </c>
      <c r="W68" s="125" t="s">
        <v>4062</v>
      </c>
      <c r="X68" s="125">
        <v>169000</v>
      </c>
      <c r="Y68" s="125" t="s">
        <v>5773</v>
      </c>
      <c r="Z68" s="125">
        <v>330000</v>
      </c>
      <c r="AA68" s="125" t="s">
        <v>786</v>
      </c>
      <c r="AB68" s="125">
        <v>470000</v>
      </c>
      <c r="AC68" s="125" t="s">
        <v>4870</v>
      </c>
      <c r="AH68" s="206">
        <f t="shared" si="7"/>
        <v>970000</v>
      </c>
      <c r="AK68" s="171">
        <f t="shared" si="9"/>
        <v>0</v>
      </c>
      <c r="AL68" s="125">
        <v>18799083300</v>
      </c>
      <c r="AM68" s="125" t="s">
        <v>3284</v>
      </c>
      <c r="AO68" s="125">
        <f t="shared" si="6"/>
        <v>970000</v>
      </c>
      <c r="AP68" s="172">
        <f>0.7%+0.03%+0.12%+0.03%</f>
        <v>0.0088</v>
      </c>
      <c r="AZ68" s="125">
        <v>170000</v>
      </c>
      <c r="BD68" s="125">
        <v>800000</v>
      </c>
      <c r="BO68" s="125" t="s">
        <v>260</v>
      </c>
      <c r="BQ68" s="125" t="s">
        <v>261</v>
      </c>
    </row>
    <row r="69" s="107" customFormat="1" hidden="1" customHeight="1" spans="1:69">
      <c r="A69" s="107">
        <v>46</v>
      </c>
      <c r="C69" s="228"/>
      <c r="I69" s="232" t="s">
        <v>5774</v>
      </c>
      <c r="J69" s="230">
        <v>101.56</v>
      </c>
      <c r="N69" s="107">
        <v>8220.6</v>
      </c>
      <c r="AH69" s="194">
        <f t="shared" si="7"/>
        <v>0</v>
      </c>
      <c r="AK69" s="171">
        <f t="shared" si="9"/>
        <v>0</v>
      </c>
      <c r="AO69" s="125">
        <f t="shared" si="6"/>
        <v>0</v>
      </c>
    </row>
    <row r="70" s="125" customFormat="1" hidden="1" customHeight="1" spans="1:69">
      <c r="A70" s="125">
        <v>47</v>
      </c>
      <c r="B70" s="125"/>
      <c r="C70" s="210">
        <v>46033</v>
      </c>
      <c r="D70" s="125">
        <v>20260000141</v>
      </c>
      <c r="F70" s="1037" t="s">
        <v>5775</v>
      </c>
      <c r="G70" s="125" t="s">
        <v>5776</v>
      </c>
      <c r="H70" s="1037" t="s">
        <v>5777</v>
      </c>
      <c r="I70" s="211" t="s">
        <v>5778</v>
      </c>
      <c r="J70" s="212">
        <v>117.84</v>
      </c>
      <c r="K70" s="125">
        <v>117.84</v>
      </c>
      <c r="L70" s="125">
        <v>5091.649</v>
      </c>
      <c r="M70" s="125">
        <v>600000</v>
      </c>
      <c r="N70" s="125">
        <f>5113.23-300</f>
        <v>4813.23</v>
      </c>
      <c r="O70" s="125">
        <v>550458.72</v>
      </c>
      <c r="P70" s="1037" t="s">
        <v>5779</v>
      </c>
      <c r="Q70" s="168">
        <v>46036</v>
      </c>
      <c r="R70" s="125"/>
      <c r="S70" s="168"/>
      <c r="U70" s="125" t="s">
        <v>690</v>
      </c>
      <c r="V70" s="125">
        <v>10000</v>
      </c>
      <c r="W70" s="168">
        <v>46004</v>
      </c>
      <c r="X70" s="125">
        <v>327000</v>
      </c>
      <c r="Y70" s="168">
        <v>46033</v>
      </c>
      <c r="Z70" s="125">
        <v>63000</v>
      </c>
      <c r="AA70" s="168">
        <v>46043</v>
      </c>
      <c r="AB70" s="125">
        <v>200000</v>
      </c>
      <c r="AC70" s="168">
        <v>46057</v>
      </c>
      <c r="AH70" s="206">
        <f t="shared" si="7"/>
        <v>600000</v>
      </c>
      <c r="AK70" s="171">
        <f t="shared" si="9"/>
        <v>0</v>
      </c>
      <c r="AM70" s="125" t="s">
        <v>3362</v>
      </c>
      <c r="AO70" s="125">
        <f t="shared" si="6"/>
        <v>600000</v>
      </c>
      <c r="AP70" s="166">
        <f>0.6%+0.08%+0.03%</f>
        <v>0.0071</v>
      </c>
      <c r="BJ70" s="125">
        <v>400000</v>
      </c>
      <c r="BK70" s="125">
        <v>200000</v>
      </c>
      <c r="BO70" s="125" t="s">
        <v>260</v>
      </c>
      <c r="BP70" s="125" t="s">
        <v>261</v>
      </c>
    </row>
    <row r="71" s="125" customFormat="1" customHeight="1" spans="1:69">
      <c r="A71" s="125">
        <v>48</v>
      </c>
      <c r="B71" s="125">
        <v>1</v>
      </c>
      <c r="C71" s="210"/>
      <c r="F71" s="1037" t="s">
        <v>5780</v>
      </c>
      <c r="G71" s="125" t="s">
        <v>5781</v>
      </c>
      <c r="H71" s="1037" t="s">
        <v>5782</v>
      </c>
      <c r="I71" s="214" t="s">
        <v>5783</v>
      </c>
      <c r="J71" s="212">
        <v>117.84</v>
      </c>
      <c r="K71" s="125">
        <v>117.84</v>
      </c>
      <c r="L71" s="125">
        <v>4900</v>
      </c>
      <c r="M71" s="125">
        <v>577416</v>
      </c>
      <c r="N71" s="125">
        <v>5744.23</v>
      </c>
      <c r="O71" s="125" t="s">
        <v>5784</v>
      </c>
      <c r="R71" s="125">
        <f>20000+200000</f>
        <v>220000</v>
      </c>
      <c r="S71" s="168" t="s">
        <v>5785</v>
      </c>
      <c r="U71" s="125" t="s">
        <v>5786</v>
      </c>
      <c r="V71" s="125">
        <v>20000</v>
      </c>
      <c r="W71" s="168">
        <v>46109</v>
      </c>
      <c r="X71" s="125">
        <v>200000</v>
      </c>
      <c r="Y71" s="168">
        <v>46112</v>
      </c>
      <c r="AH71" s="206">
        <f t="shared" si="7"/>
        <v>220000</v>
      </c>
      <c r="AK71" s="171">
        <f t="shared" si="9"/>
        <v>357416</v>
      </c>
      <c r="AO71" s="125">
        <f t="shared" si="6"/>
        <v>0</v>
      </c>
      <c r="AP71" s="177">
        <f>0.7%+0.04%+0.14%+0.03%</f>
        <v>0.0091</v>
      </c>
      <c r="BP71" s="125" t="s">
        <v>5787</v>
      </c>
    </row>
    <row r="72" s="125" customFormat="1" hidden="1" customHeight="1" spans="1:69">
      <c r="A72" s="125">
        <v>49</v>
      </c>
      <c r="B72" s="125"/>
      <c r="C72" s="210">
        <v>45573</v>
      </c>
      <c r="D72" s="125">
        <v>20240005944</v>
      </c>
      <c r="F72" s="1037" t="s">
        <v>5788</v>
      </c>
      <c r="G72" s="125" t="s">
        <v>5789</v>
      </c>
      <c r="H72" s="1037" t="s">
        <v>5790</v>
      </c>
      <c r="I72" s="211" t="s">
        <v>5791</v>
      </c>
      <c r="J72" s="212">
        <v>117.84</v>
      </c>
      <c r="K72" s="125">
        <v>117.84</v>
      </c>
      <c r="L72" s="125">
        <v>5500</v>
      </c>
      <c r="M72" s="125">
        <v>648120</v>
      </c>
      <c r="N72" s="125">
        <v>5500</v>
      </c>
      <c r="O72" s="125">
        <v>594605.5</v>
      </c>
      <c r="P72" s="1037" t="s">
        <v>5792</v>
      </c>
      <c r="Q72" s="168">
        <v>45954</v>
      </c>
      <c r="U72" s="125" t="s">
        <v>656</v>
      </c>
      <c r="V72" s="125">
        <v>10000</v>
      </c>
      <c r="W72" s="125" t="s">
        <v>400</v>
      </c>
      <c r="X72" s="125">
        <v>120120</v>
      </c>
      <c r="Y72" s="125" t="s">
        <v>775</v>
      </c>
      <c r="Z72" s="125">
        <v>518000</v>
      </c>
      <c r="AA72" s="125" t="s">
        <v>790</v>
      </c>
      <c r="AH72" s="206">
        <f t="shared" si="7"/>
        <v>648120</v>
      </c>
      <c r="AK72" s="171">
        <f t="shared" si="9"/>
        <v>0</v>
      </c>
      <c r="AL72" s="125">
        <v>13199710158</v>
      </c>
      <c r="AM72" s="125" t="s">
        <v>5793</v>
      </c>
      <c r="AO72" s="125">
        <f t="shared" si="6"/>
        <v>648120</v>
      </c>
      <c r="AP72" s="166">
        <f>0.4%+0.02%+0.08%+0.03%</f>
        <v>0.0053</v>
      </c>
      <c r="AV72" s="125">
        <v>130120</v>
      </c>
      <c r="AX72" s="125">
        <v>518000</v>
      </c>
      <c r="BO72" s="125" t="s">
        <v>260</v>
      </c>
      <c r="BQ72" s="125" t="s">
        <v>261</v>
      </c>
    </row>
    <row r="73" s="125" customFormat="1" hidden="1" customHeight="1" spans="1:69">
      <c r="A73" s="125">
        <v>50</v>
      </c>
      <c r="B73" s="125"/>
      <c r="C73" s="210">
        <v>45778</v>
      </c>
      <c r="D73" s="125">
        <v>20250002232</v>
      </c>
      <c r="E73" s="125"/>
      <c r="F73" s="1037" t="s">
        <v>5794</v>
      </c>
      <c r="G73" s="125" t="s">
        <v>5795</v>
      </c>
      <c r="H73" s="1037" t="s">
        <v>5796</v>
      </c>
      <c r="I73" s="214" t="s">
        <v>5797</v>
      </c>
      <c r="J73" s="212">
        <v>117.84</v>
      </c>
      <c r="K73" s="125">
        <v>117.84</v>
      </c>
      <c r="L73" s="125">
        <v>5795.99</v>
      </c>
      <c r="M73" s="125">
        <v>683000</v>
      </c>
      <c r="N73" s="125">
        <v>5795.99</v>
      </c>
      <c r="O73" s="125">
        <v>626605.5</v>
      </c>
      <c r="P73" s="1037" t="s">
        <v>5798</v>
      </c>
      <c r="Q73" s="168">
        <v>45953</v>
      </c>
      <c r="R73" s="125"/>
      <c r="S73" s="168"/>
      <c r="T73" s="125"/>
      <c r="U73" s="125" t="s">
        <v>561</v>
      </c>
      <c r="V73" s="125">
        <v>9000</v>
      </c>
      <c r="W73" s="125" t="s">
        <v>3252</v>
      </c>
      <c r="X73" s="125">
        <v>98000</v>
      </c>
      <c r="Y73" s="125" t="s">
        <v>5799</v>
      </c>
      <c r="Z73" s="125">
        <v>30000</v>
      </c>
      <c r="AA73" s="168">
        <v>45846</v>
      </c>
      <c r="AB73" s="125">
        <v>546000</v>
      </c>
      <c r="AC73" s="168">
        <v>45897</v>
      </c>
      <c r="AD73" s="125"/>
      <c r="AE73" s="125"/>
      <c r="AF73" s="125"/>
      <c r="AG73" s="125"/>
      <c r="AH73" s="206">
        <f t="shared" si="7"/>
        <v>683000</v>
      </c>
      <c r="AK73" s="171">
        <f t="shared" si="9"/>
        <v>0</v>
      </c>
      <c r="AL73" s="125">
        <v>13179839839</v>
      </c>
      <c r="AM73" s="125" t="s">
        <v>3522</v>
      </c>
      <c r="AN73" s="125"/>
      <c r="AO73" s="125">
        <f t="shared" si="6"/>
        <v>683000</v>
      </c>
      <c r="AP73" s="166">
        <f>0.4%+0.02%+0.08%+0.03%</f>
        <v>0.0053</v>
      </c>
      <c r="BE73" s="125">
        <v>137000</v>
      </c>
      <c r="BG73" s="125">
        <v>546000</v>
      </c>
      <c r="BO73" s="125" t="s">
        <v>260</v>
      </c>
      <c r="BQ73" s="125" t="s">
        <v>261</v>
      </c>
    </row>
    <row r="74" s="125" customFormat="1" hidden="1" customHeight="1" spans="1:69">
      <c r="A74" s="125">
        <v>51</v>
      </c>
      <c r="B74" s="125"/>
      <c r="C74" s="210">
        <v>45744</v>
      </c>
      <c r="D74" s="125">
        <v>20250001701</v>
      </c>
      <c r="F74" s="1037" t="s">
        <v>5800</v>
      </c>
      <c r="G74" s="125" t="s">
        <v>5801</v>
      </c>
      <c r="H74" s="1037" t="s">
        <v>5643</v>
      </c>
      <c r="I74" s="211" t="s">
        <v>5802</v>
      </c>
      <c r="J74" s="212">
        <v>117.84</v>
      </c>
      <c r="K74" s="125">
        <v>117.84</v>
      </c>
      <c r="L74" s="125">
        <v>5720</v>
      </c>
      <c r="M74" s="125">
        <v>674045</v>
      </c>
      <c r="N74" s="125">
        <v>5720</v>
      </c>
      <c r="O74" s="171">
        <v>618389.91</v>
      </c>
      <c r="P74" s="1037" t="s">
        <v>5803</v>
      </c>
      <c r="Q74" s="168">
        <v>45953</v>
      </c>
      <c r="U74" s="125" t="s">
        <v>408</v>
      </c>
      <c r="V74" s="125">
        <v>20000</v>
      </c>
      <c r="W74" s="125" t="s">
        <v>5804</v>
      </c>
      <c r="X74" s="125">
        <v>64045</v>
      </c>
      <c r="Y74" s="125" t="s">
        <v>5805</v>
      </c>
      <c r="Z74" s="125">
        <v>90000</v>
      </c>
      <c r="AA74" s="125" t="s">
        <v>2859</v>
      </c>
      <c r="AB74" s="125">
        <v>500000</v>
      </c>
      <c r="AC74" s="125" t="s">
        <v>2112</v>
      </c>
      <c r="AH74" s="206">
        <f t="shared" si="7"/>
        <v>674045</v>
      </c>
      <c r="AK74" s="171">
        <f t="shared" si="9"/>
        <v>0</v>
      </c>
      <c r="AL74" s="125">
        <v>18690885935</v>
      </c>
      <c r="AM74" s="125" t="s">
        <v>3284</v>
      </c>
      <c r="AO74" s="125">
        <f t="shared" ref="AO74:AO90" si="10">SUM(AQ74:BK74)</f>
        <v>674045</v>
      </c>
      <c r="AP74" s="172">
        <f>0.7%+0.04%+0.12%+0.03%</f>
        <v>0.0089</v>
      </c>
      <c r="BB74" s="125">
        <v>174045</v>
      </c>
      <c r="BC74" s="125">
        <v>500000</v>
      </c>
      <c r="BO74" s="125" t="s">
        <v>260</v>
      </c>
      <c r="BQ74" s="125" t="s">
        <v>261</v>
      </c>
    </row>
    <row r="75" s="125" customFormat="1" hidden="1" customHeight="1" spans="1:69">
      <c r="A75" s="125">
        <v>52</v>
      </c>
      <c r="B75" s="125"/>
      <c r="C75" s="210">
        <v>45957</v>
      </c>
      <c r="D75" s="125">
        <v>20250005538</v>
      </c>
      <c r="E75" s="125"/>
      <c r="F75" s="1037" t="s">
        <v>5806</v>
      </c>
      <c r="G75" s="125" t="s">
        <v>5807</v>
      </c>
      <c r="H75" s="1037" t="s">
        <v>5808</v>
      </c>
      <c r="I75" s="214" t="s">
        <v>5809</v>
      </c>
      <c r="J75" s="212">
        <v>117.84</v>
      </c>
      <c r="K75" s="125">
        <v>117.84</v>
      </c>
      <c r="L75" s="125">
        <v>5176.51</v>
      </c>
      <c r="M75" s="125">
        <v>610000</v>
      </c>
      <c r="N75" s="125">
        <v>5176.51</v>
      </c>
      <c r="O75" s="125">
        <v>559633.03</v>
      </c>
      <c r="P75" s="1037" t="s">
        <v>5810</v>
      </c>
      <c r="Q75" s="168">
        <v>45980</v>
      </c>
      <c r="R75" s="125"/>
      <c r="S75" s="168"/>
      <c r="T75" s="125"/>
      <c r="U75" s="125" t="s">
        <v>3404</v>
      </c>
      <c r="V75" s="125">
        <v>200000</v>
      </c>
      <c r="W75" s="168">
        <v>45958</v>
      </c>
      <c r="X75" s="125">
        <v>410000</v>
      </c>
      <c r="Y75" s="168">
        <v>45974</v>
      </c>
      <c r="Z75" s="125"/>
      <c r="AA75" s="168"/>
      <c r="AB75" s="125"/>
      <c r="AC75" s="125"/>
      <c r="AD75" s="125"/>
      <c r="AE75" s="125"/>
      <c r="AF75" s="125"/>
      <c r="AG75" s="125"/>
      <c r="AH75" s="206">
        <f t="shared" si="7"/>
        <v>610000</v>
      </c>
      <c r="AK75" s="171">
        <f t="shared" si="9"/>
        <v>0</v>
      </c>
      <c r="AL75" s="125">
        <v>13999603726</v>
      </c>
      <c r="AM75" s="125" t="s">
        <v>3362</v>
      </c>
      <c r="AN75" s="125"/>
      <c r="AO75" s="125">
        <f t="shared" si="10"/>
        <v>610000</v>
      </c>
      <c r="AP75" s="166">
        <f>0.7%+0.08%+0.03%</f>
        <v>0.0081</v>
      </c>
      <c r="BH75" s="125">
        <v>200000</v>
      </c>
      <c r="BJ75" s="125">
        <v>410000</v>
      </c>
      <c r="BL75" s="155"/>
      <c r="BM75" s="125"/>
      <c r="BO75" s="155" t="s">
        <v>3258</v>
      </c>
      <c r="BQ75" s="125" t="s">
        <v>261</v>
      </c>
    </row>
    <row r="76" s="125" customFormat="1" hidden="1" customHeight="1" spans="1:69">
      <c r="A76" s="125">
        <v>53</v>
      </c>
      <c r="C76" s="210">
        <v>45511</v>
      </c>
      <c r="D76" s="125">
        <v>20240004547</v>
      </c>
      <c r="F76" s="125" t="s">
        <v>5811</v>
      </c>
      <c r="G76" s="125" t="s">
        <v>5812</v>
      </c>
      <c r="H76" s="1037" t="s">
        <v>5813</v>
      </c>
      <c r="I76" s="211" t="s">
        <v>5814</v>
      </c>
      <c r="J76" s="212">
        <v>117.84</v>
      </c>
      <c r="K76" s="125">
        <v>117.84</v>
      </c>
      <c r="L76" s="125">
        <f>M76/K76</f>
        <v>5770.53632043449</v>
      </c>
      <c r="M76" s="125">
        <v>680000</v>
      </c>
      <c r="N76" s="125">
        <v>5770.535</v>
      </c>
      <c r="O76" s="125">
        <v>623853.21</v>
      </c>
      <c r="P76" s="1037" t="s">
        <v>5815</v>
      </c>
      <c r="Q76" s="168">
        <v>45953</v>
      </c>
      <c r="U76" s="125" t="s">
        <v>561</v>
      </c>
      <c r="V76" s="125">
        <v>10000</v>
      </c>
      <c r="W76" s="125" t="s">
        <v>4539</v>
      </c>
      <c r="X76" s="125">
        <v>250000</v>
      </c>
      <c r="Y76" s="125" t="s">
        <v>734</v>
      </c>
      <c r="Z76" s="125">
        <v>420000</v>
      </c>
      <c r="AA76" s="125" t="s">
        <v>371</v>
      </c>
      <c r="AH76" s="206">
        <f t="shared" si="7"/>
        <v>680000</v>
      </c>
      <c r="AK76" s="171">
        <f t="shared" ref="AK76:AK82" si="11">M76-AH76</f>
        <v>0</v>
      </c>
      <c r="AL76" s="125">
        <v>13199729933</v>
      </c>
      <c r="AM76" s="125" t="s">
        <v>5816</v>
      </c>
      <c r="AO76" s="125">
        <f t="shared" si="10"/>
        <v>680000</v>
      </c>
      <c r="AP76" s="177">
        <f>0.5%+0.02%+0.08%</f>
        <v>0.006</v>
      </c>
      <c r="AT76" s="125">
        <v>260000</v>
      </c>
      <c r="AV76" s="125">
        <v>420000</v>
      </c>
      <c r="BO76" s="125" t="s">
        <v>260</v>
      </c>
      <c r="BQ76" s="125" t="s">
        <v>261</v>
      </c>
    </row>
    <row r="77" s="125" customFormat="1" hidden="1" customHeight="1" spans="1:69">
      <c r="A77" s="125">
        <v>54</v>
      </c>
      <c r="B77" s="125"/>
      <c r="C77" s="210">
        <v>45744</v>
      </c>
      <c r="D77" s="125">
        <v>20250001703</v>
      </c>
      <c r="F77" s="1037" t="s">
        <v>5817</v>
      </c>
      <c r="G77" s="125" t="s">
        <v>5818</v>
      </c>
      <c r="H77" s="1037" t="s">
        <v>5502</v>
      </c>
      <c r="I77" s="214" t="s">
        <v>5819</v>
      </c>
      <c r="J77" s="212">
        <v>117.84</v>
      </c>
      <c r="K77" s="125">
        <v>117.84</v>
      </c>
      <c r="L77" s="125">
        <v>5800</v>
      </c>
      <c r="M77" s="125">
        <v>683472</v>
      </c>
      <c r="N77" s="125">
        <v>5800</v>
      </c>
      <c r="O77" s="125">
        <v>627038.53</v>
      </c>
      <c r="P77" s="1037" t="s">
        <v>5820</v>
      </c>
      <c r="Q77" s="168">
        <v>45953</v>
      </c>
      <c r="U77" s="125" t="s">
        <v>408</v>
      </c>
      <c r="V77" s="125">
        <v>20000</v>
      </c>
      <c r="W77" s="125" t="s">
        <v>5804</v>
      </c>
      <c r="X77" s="125">
        <v>59472</v>
      </c>
      <c r="Y77" s="125" t="s">
        <v>5805</v>
      </c>
      <c r="Z77" s="125">
        <v>64000</v>
      </c>
      <c r="AA77" s="125" t="s">
        <v>2859</v>
      </c>
      <c r="AB77" s="125">
        <v>540000</v>
      </c>
      <c r="AC77" s="125" t="s">
        <v>2112</v>
      </c>
      <c r="AH77" s="206">
        <f t="shared" si="7"/>
        <v>683472</v>
      </c>
      <c r="AK77" s="171">
        <f t="shared" si="11"/>
        <v>0</v>
      </c>
      <c r="AL77" s="125">
        <v>19190112023</v>
      </c>
      <c r="AM77" s="125" t="s">
        <v>3284</v>
      </c>
      <c r="AO77" s="125">
        <f t="shared" si="10"/>
        <v>683472</v>
      </c>
      <c r="AP77" s="172">
        <f>0.7%+0.04%+0.12%+0.03%</f>
        <v>0.0089</v>
      </c>
      <c r="BB77" s="125">
        <v>143472</v>
      </c>
      <c r="BC77" s="125">
        <v>540000</v>
      </c>
      <c r="BO77" s="125" t="s">
        <v>260</v>
      </c>
      <c r="BQ77" s="125" t="s">
        <v>261</v>
      </c>
    </row>
    <row r="78" s="125" customFormat="1" hidden="1" customHeight="1" spans="1:69">
      <c r="A78" s="125">
        <v>55</v>
      </c>
      <c r="B78" s="125"/>
      <c r="C78" s="210">
        <v>45607</v>
      </c>
      <c r="D78" s="125">
        <v>20240006533</v>
      </c>
      <c r="F78" s="1037" t="s">
        <v>5821</v>
      </c>
      <c r="G78" s="125" t="s">
        <v>5822</v>
      </c>
      <c r="H78" s="1037" t="s">
        <v>5823</v>
      </c>
      <c r="I78" s="211" t="s">
        <v>5824</v>
      </c>
      <c r="J78" s="212">
        <v>117.84</v>
      </c>
      <c r="K78" s="125">
        <v>117.84</v>
      </c>
      <c r="L78" s="125">
        <v>5855.4</v>
      </c>
      <c r="M78" s="125">
        <v>690000</v>
      </c>
      <c r="N78" s="125">
        <v>5993.76</v>
      </c>
      <c r="O78" s="125">
        <v>633027.52</v>
      </c>
      <c r="P78" s="1037" t="s">
        <v>5825</v>
      </c>
      <c r="Q78" s="168">
        <v>45954</v>
      </c>
      <c r="U78" s="125" t="s">
        <v>294</v>
      </c>
      <c r="V78" s="125">
        <v>20000</v>
      </c>
      <c r="W78" s="125" t="s">
        <v>2138</v>
      </c>
      <c r="X78" s="125">
        <v>670000</v>
      </c>
      <c r="Y78" s="125" t="s">
        <v>3264</v>
      </c>
      <c r="AH78" s="206">
        <f t="shared" si="7"/>
        <v>690000</v>
      </c>
      <c r="AK78" s="171">
        <f t="shared" si="11"/>
        <v>0</v>
      </c>
      <c r="AL78" s="125">
        <v>13667539298</v>
      </c>
      <c r="AM78" s="125" t="s">
        <v>3284</v>
      </c>
      <c r="AO78" s="125">
        <f t="shared" si="10"/>
        <v>690000</v>
      </c>
      <c r="AP78" s="166">
        <f>0.7%+0.08%+0.03%</f>
        <v>0.0081</v>
      </c>
      <c r="AW78" s="125">
        <v>690000</v>
      </c>
      <c r="BO78" s="125" t="s">
        <v>260</v>
      </c>
      <c r="BQ78" s="125" t="s">
        <v>261</v>
      </c>
    </row>
    <row r="79" s="125" customFormat="1" hidden="1" customHeight="1" spans="1:69">
      <c r="A79" s="125">
        <v>56</v>
      </c>
      <c r="B79" s="125"/>
      <c r="C79" s="210">
        <v>45569</v>
      </c>
      <c r="D79" s="125">
        <v>20240005772</v>
      </c>
      <c r="F79" s="125" t="s">
        <v>5826</v>
      </c>
      <c r="G79" s="125" t="s">
        <v>5827</v>
      </c>
      <c r="H79" s="1037" t="s">
        <v>5828</v>
      </c>
      <c r="I79" s="214" t="s">
        <v>5829</v>
      </c>
      <c r="J79" s="212">
        <v>117.84</v>
      </c>
      <c r="K79" s="125">
        <v>117.84</v>
      </c>
      <c r="L79" s="125">
        <v>5770.54</v>
      </c>
      <c r="M79" s="125">
        <v>680000</v>
      </c>
      <c r="N79" s="125">
        <v>5770.54</v>
      </c>
      <c r="O79" s="125">
        <v>623853.21</v>
      </c>
      <c r="P79" s="175" t="s">
        <v>5830</v>
      </c>
      <c r="Q79" s="168">
        <v>45953</v>
      </c>
      <c r="S79" s="168"/>
      <c r="U79" s="125" t="s">
        <v>722</v>
      </c>
      <c r="V79" s="125">
        <v>20000</v>
      </c>
      <c r="W79" s="168">
        <v>45564</v>
      </c>
      <c r="X79" s="125">
        <v>150000</v>
      </c>
      <c r="Y79" s="168" t="s">
        <v>497</v>
      </c>
      <c r="Z79" s="125">
        <v>510000</v>
      </c>
      <c r="AA79" s="125" t="s">
        <v>771</v>
      </c>
      <c r="AH79" s="206">
        <f t="shared" si="7"/>
        <v>680000</v>
      </c>
      <c r="AK79" s="171">
        <f t="shared" si="11"/>
        <v>0</v>
      </c>
      <c r="AL79" s="125">
        <v>13565064892</v>
      </c>
      <c r="AO79" s="125">
        <f t="shared" si="10"/>
        <v>680000</v>
      </c>
      <c r="AP79" s="166">
        <f>0.5%+0.1%</f>
        <v>0.006</v>
      </c>
      <c r="AV79" s="125">
        <v>680000</v>
      </c>
      <c r="BO79" s="125" t="s">
        <v>260</v>
      </c>
      <c r="BQ79" s="125" t="s">
        <v>261</v>
      </c>
    </row>
    <row r="80" s="125" customFormat="1" hidden="1" customHeight="1" spans="1:69">
      <c r="A80" s="125">
        <v>57</v>
      </c>
      <c r="B80" s="125"/>
      <c r="C80" s="210">
        <v>45570</v>
      </c>
      <c r="D80" s="125">
        <v>20240005923</v>
      </c>
      <c r="F80" s="1037" t="s">
        <v>5831</v>
      </c>
      <c r="G80" s="125" t="s">
        <v>5832</v>
      </c>
      <c r="I80" s="215" t="s">
        <v>5833</v>
      </c>
      <c r="J80" s="212">
        <v>117.84</v>
      </c>
      <c r="K80" s="125">
        <v>117.84</v>
      </c>
      <c r="L80" s="125">
        <v>6000</v>
      </c>
      <c r="M80" s="125">
        <v>707040</v>
      </c>
      <c r="N80" s="125">
        <v>6000</v>
      </c>
      <c r="O80" s="125">
        <v>648660.55</v>
      </c>
      <c r="P80" s="175" t="s">
        <v>5834</v>
      </c>
      <c r="Q80" s="168">
        <v>45954</v>
      </c>
      <c r="V80" s="125">
        <v>87040</v>
      </c>
      <c r="W80" s="125" t="s">
        <v>400</v>
      </c>
      <c r="X80" s="125">
        <v>320000</v>
      </c>
      <c r="Y80" s="125" t="s">
        <v>4077</v>
      </c>
      <c r="Z80" s="125">
        <v>300000</v>
      </c>
      <c r="AA80" s="125" t="s">
        <v>392</v>
      </c>
      <c r="AH80" s="206">
        <f t="shared" si="7"/>
        <v>707040</v>
      </c>
      <c r="AK80" s="171">
        <f t="shared" si="11"/>
        <v>0</v>
      </c>
      <c r="AL80" s="125">
        <v>18196293503</v>
      </c>
      <c r="AM80" s="125" t="s">
        <v>4581</v>
      </c>
      <c r="AO80" s="125">
        <f t="shared" si="10"/>
        <v>707040</v>
      </c>
      <c r="AP80" s="166">
        <f>0.7%+0.08%+0.03%</f>
        <v>0.0081</v>
      </c>
      <c r="AV80" s="125">
        <v>407040</v>
      </c>
      <c r="AW80" s="125">
        <v>300000</v>
      </c>
      <c r="BO80" s="125" t="s">
        <v>260</v>
      </c>
      <c r="BQ80" s="125" t="s">
        <v>261</v>
      </c>
    </row>
    <row r="81" s="125" customFormat="1" hidden="1" customHeight="1" spans="1:71">
      <c r="A81" s="125">
        <v>58</v>
      </c>
      <c r="B81" s="125"/>
      <c r="C81" s="210">
        <v>45646</v>
      </c>
      <c r="D81" s="125">
        <v>20240007355</v>
      </c>
      <c r="F81" s="1037" t="s">
        <v>5835</v>
      </c>
      <c r="G81" s="125" t="s">
        <v>4877</v>
      </c>
      <c r="H81" s="1037" t="s">
        <v>5836</v>
      </c>
      <c r="I81" s="211" t="s">
        <v>5837</v>
      </c>
      <c r="J81" s="212">
        <v>117.84</v>
      </c>
      <c r="K81" s="125">
        <v>117.84</v>
      </c>
      <c r="L81" s="125">
        <v>5643.25</v>
      </c>
      <c r="M81" s="125">
        <v>665000</v>
      </c>
      <c r="N81" s="125">
        <v>6023.67</v>
      </c>
      <c r="O81" s="125">
        <v>610091.74</v>
      </c>
      <c r="P81" s="1037" t="s">
        <v>5838</v>
      </c>
      <c r="Q81" s="168">
        <v>45954</v>
      </c>
      <c r="U81" s="125" t="s">
        <v>267</v>
      </c>
      <c r="V81" s="125">
        <v>20000</v>
      </c>
      <c r="W81" s="125" t="s">
        <v>3281</v>
      </c>
      <c r="X81" s="125">
        <v>200000</v>
      </c>
      <c r="Y81" s="125" t="s">
        <v>409</v>
      </c>
      <c r="Z81" s="125">
        <v>180000</v>
      </c>
      <c r="AA81" s="125" t="s">
        <v>409</v>
      </c>
      <c r="AB81" s="125">
        <v>265000</v>
      </c>
      <c r="AC81" s="125" t="s">
        <v>506</v>
      </c>
      <c r="AH81" s="206">
        <f t="shared" si="7"/>
        <v>665000</v>
      </c>
      <c r="AK81" s="171">
        <f t="shared" si="11"/>
        <v>0</v>
      </c>
      <c r="AL81" s="125">
        <v>13150459500</v>
      </c>
      <c r="AM81" s="125" t="s">
        <v>3369</v>
      </c>
      <c r="AO81" s="125">
        <f t="shared" si="10"/>
        <v>665000</v>
      </c>
      <c r="AP81" s="166">
        <f>0.6%+0.08%+0.03%</f>
        <v>0.0071</v>
      </c>
      <c r="AX81" s="125">
        <v>400000</v>
      </c>
      <c r="AY81" s="125">
        <v>265000</v>
      </c>
      <c r="BO81" s="125" t="s">
        <v>260</v>
      </c>
      <c r="BQ81" s="125" t="s">
        <v>261</v>
      </c>
    </row>
    <row r="82" s="125" customFormat="1" hidden="1" customHeight="1" spans="1:71">
      <c r="A82" s="125">
        <v>59</v>
      </c>
      <c r="B82" s="125"/>
      <c r="C82" s="210">
        <v>45591</v>
      </c>
      <c r="D82" s="125">
        <v>20240006294</v>
      </c>
      <c r="F82" s="1037" t="s">
        <v>5839</v>
      </c>
      <c r="G82" s="125" t="s">
        <v>5840</v>
      </c>
      <c r="I82" s="211" t="s">
        <v>5841</v>
      </c>
      <c r="J82" s="212">
        <v>117.84</v>
      </c>
      <c r="K82" s="125">
        <v>117.84</v>
      </c>
      <c r="L82" s="125">
        <v>5914.8</v>
      </c>
      <c r="M82" s="125">
        <v>697000</v>
      </c>
      <c r="N82" s="125">
        <v>6069.84</v>
      </c>
      <c r="O82" s="125">
        <v>639449.54</v>
      </c>
      <c r="P82" s="1037" t="s">
        <v>5842</v>
      </c>
      <c r="Q82" s="168">
        <v>45954</v>
      </c>
      <c r="S82" s="168"/>
      <c r="U82" s="125" t="s">
        <v>408</v>
      </c>
      <c r="V82" s="125">
        <f>20000+97000</f>
        <v>117000</v>
      </c>
      <c r="W82" s="168" t="s">
        <v>2138</v>
      </c>
      <c r="X82" s="125">
        <v>580000</v>
      </c>
      <c r="Y82" s="168" t="s">
        <v>4366</v>
      </c>
      <c r="AH82" s="206">
        <f t="shared" si="7"/>
        <v>697000</v>
      </c>
      <c r="AK82" s="171">
        <f t="shared" si="11"/>
        <v>0</v>
      </c>
      <c r="AL82" s="125">
        <v>18699501864</v>
      </c>
      <c r="AM82" s="125" t="s">
        <v>3284</v>
      </c>
      <c r="AO82" s="125">
        <f t="shared" si="10"/>
        <v>697000</v>
      </c>
      <c r="AP82" s="166">
        <f>0.6%+0.02%+0.08%+0.03%</f>
        <v>0.0073</v>
      </c>
      <c r="AW82" s="125">
        <v>697000</v>
      </c>
      <c r="BO82" s="125" t="s">
        <v>260</v>
      </c>
      <c r="BQ82" s="125" t="s">
        <v>261</v>
      </c>
    </row>
    <row r="83" s="125" customFormat="1" hidden="1" customHeight="1" spans="1:71">
      <c r="A83" s="125">
        <v>60</v>
      </c>
      <c r="B83" s="125"/>
      <c r="C83" s="210">
        <v>45717</v>
      </c>
      <c r="D83" s="125">
        <v>20250000963</v>
      </c>
      <c r="F83" s="1037" t="s">
        <v>5843</v>
      </c>
      <c r="G83" s="125" t="s">
        <v>5844</v>
      </c>
      <c r="H83" s="1037" t="s">
        <v>5845</v>
      </c>
      <c r="I83" s="211" t="s">
        <v>5846</v>
      </c>
      <c r="J83" s="212">
        <v>117.84</v>
      </c>
      <c r="K83" s="125">
        <v>117.84</v>
      </c>
      <c r="L83" s="125">
        <v>5897.82</v>
      </c>
      <c r="M83" s="125">
        <v>695000</v>
      </c>
      <c r="N83" s="125">
        <v>6050.84</v>
      </c>
      <c r="O83" s="125">
        <v>637614.68</v>
      </c>
      <c r="P83" s="175" t="s">
        <v>5847</v>
      </c>
      <c r="Q83" s="168">
        <v>45953</v>
      </c>
      <c r="U83" s="125" t="s">
        <v>277</v>
      </c>
      <c r="V83" s="125">
        <v>10000</v>
      </c>
      <c r="W83" s="125" t="s">
        <v>393</v>
      </c>
      <c r="X83" s="125">
        <v>109000</v>
      </c>
      <c r="Y83" s="125" t="s">
        <v>430</v>
      </c>
      <c r="Z83" s="125">
        <v>12000</v>
      </c>
      <c r="AA83" s="125" t="s">
        <v>3289</v>
      </c>
      <c r="AB83" s="125">
        <v>8000</v>
      </c>
      <c r="AC83" s="125" t="s">
        <v>747</v>
      </c>
      <c r="AD83" s="125">
        <v>556000</v>
      </c>
      <c r="AE83" s="125" t="s">
        <v>3035</v>
      </c>
      <c r="AH83" s="206">
        <f t="shared" si="7"/>
        <v>695000</v>
      </c>
      <c r="AK83" s="171">
        <f t="shared" ref="AK83:AK89" si="12">M83-AH83</f>
        <v>0</v>
      </c>
      <c r="AL83" s="125">
        <v>16698739888</v>
      </c>
      <c r="AM83" s="125" t="s">
        <v>3284</v>
      </c>
      <c r="AO83" s="125">
        <f t="shared" si="10"/>
        <v>695000</v>
      </c>
      <c r="AP83" s="166">
        <f>0.4%+0.03%+0.08%+0.03%</f>
        <v>0.0054</v>
      </c>
      <c r="BA83" s="125">
        <v>139000</v>
      </c>
      <c r="BC83" s="125">
        <v>556000</v>
      </c>
      <c r="BO83" s="125" t="s">
        <v>260</v>
      </c>
      <c r="BQ83" s="125" t="s">
        <v>261</v>
      </c>
    </row>
    <row r="84" s="125" customFormat="1" hidden="1" customHeight="1" spans="1:71">
      <c r="A84" s="125">
        <v>61</v>
      </c>
      <c r="B84" s="125"/>
      <c r="C84" s="210">
        <v>45566</v>
      </c>
      <c r="D84" s="125">
        <v>20240005540</v>
      </c>
      <c r="F84" s="1037" t="s">
        <v>5848</v>
      </c>
      <c r="G84" s="125" t="s">
        <v>5849</v>
      </c>
      <c r="I84" s="214" t="s">
        <v>5850</v>
      </c>
      <c r="J84" s="212">
        <v>117.84</v>
      </c>
      <c r="K84" s="125">
        <v>117.84</v>
      </c>
      <c r="L84" s="125">
        <v>5855.4</v>
      </c>
      <c r="M84" s="125">
        <v>690000</v>
      </c>
      <c r="N84" s="125">
        <v>5855.4</v>
      </c>
      <c r="O84" s="125">
        <v>633027.52</v>
      </c>
      <c r="P84" s="1037" t="s">
        <v>5851</v>
      </c>
      <c r="Q84" s="168">
        <v>45953</v>
      </c>
      <c r="S84" s="168"/>
      <c r="U84" s="125" t="s">
        <v>370</v>
      </c>
      <c r="V84" s="125">
        <v>20000</v>
      </c>
      <c r="W84" s="168">
        <v>45551</v>
      </c>
      <c r="X84" s="125">
        <v>124000</v>
      </c>
      <c r="Y84" s="168" t="s">
        <v>258</v>
      </c>
      <c r="Z84" s="125">
        <v>66000</v>
      </c>
      <c r="AA84" s="168" t="s">
        <v>429</v>
      </c>
      <c r="AB84" s="125">
        <v>480000</v>
      </c>
      <c r="AC84" s="125" t="s">
        <v>409</v>
      </c>
      <c r="AH84" s="206">
        <f t="shared" si="7"/>
        <v>690000</v>
      </c>
      <c r="AK84" s="171">
        <f t="shared" si="12"/>
        <v>0</v>
      </c>
      <c r="AL84" s="125">
        <v>18196233306</v>
      </c>
      <c r="AO84" s="125">
        <f t="shared" si="10"/>
        <v>690000</v>
      </c>
      <c r="AP84" s="166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O84" s="125" t="s">
        <v>260</v>
      </c>
      <c r="BQ84" s="125" t="s">
        <v>261</v>
      </c>
    </row>
    <row r="85" s="125" customFormat="1" hidden="1" customHeight="1" spans="1:71">
      <c r="A85" s="125">
        <v>62</v>
      </c>
      <c r="B85" s="125"/>
      <c r="C85" s="210">
        <v>45566</v>
      </c>
      <c r="D85" s="125">
        <v>20240005552</v>
      </c>
      <c r="F85" s="1037" t="s">
        <v>5852</v>
      </c>
      <c r="G85" s="125" t="s">
        <v>5853</v>
      </c>
      <c r="I85" s="211" t="s">
        <v>5854</v>
      </c>
      <c r="J85" s="212">
        <v>117.84</v>
      </c>
      <c r="K85" s="125">
        <v>117.84</v>
      </c>
      <c r="L85" s="125">
        <v>6079.76</v>
      </c>
      <c r="M85" s="125">
        <v>716438</v>
      </c>
      <c r="N85" s="125">
        <v>6079.76</v>
      </c>
      <c r="O85" s="125">
        <v>657282.57</v>
      </c>
      <c r="P85" s="1037" t="s">
        <v>5855</v>
      </c>
      <c r="Q85" s="168">
        <v>45953</v>
      </c>
      <c r="T85" s="1037" t="s">
        <v>307</v>
      </c>
      <c r="U85" s="125" t="s">
        <v>561</v>
      </c>
      <c r="V85" s="125">
        <v>2000</v>
      </c>
      <c r="W85" s="125" t="s">
        <v>3689</v>
      </c>
      <c r="X85" s="125">
        <v>20000</v>
      </c>
      <c r="Y85" s="125" t="s">
        <v>258</v>
      </c>
      <c r="Z85" s="125">
        <v>250000</v>
      </c>
      <c r="AA85" s="125" t="s">
        <v>1119</v>
      </c>
      <c r="AB85" s="125">
        <v>444438</v>
      </c>
      <c r="AC85" s="125" t="s">
        <v>904</v>
      </c>
      <c r="AH85" s="206">
        <f t="shared" si="7"/>
        <v>716438</v>
      </c>
      <c r="AK85" s="171">
        <f t="shared" si="12"/>
        <v>0</v>
      </c>
      <c r="AL85" s="125">
        <v>19990286738</v>
      </c>
      <c r="AM85" s="125" t="s">
        <v>4581</v>
      </c>
      <c r="AO85" s="125">
        <f t="shared" si="10"/>
        <v>716438</v>
      </c>
      <c r="AP85" s="222">
        <f>0.5%+0.02%+0.08%+0.03%</f>
        <v>0.0063</v>
      </c>
      <c r="AW85" s="125">
        <v>716438</v>
      </c>
      <c r="BO85" s="125" t="s">
        <v>260</v>
      </c>
      <c r="BQ85" s="125" t="s">
        <v>261</v>
      </c>
    </row>
    <row r="86" s="125" customFormat="1" hidden="1" customHeight="1" spans="1:71">
      <c r="A86" s="125">
        <v>63</v>
      </c>
      <c r="B86" s="125"/>
      <c r="C86" s="210">
        <v>45674</v>
      </c>
      <c r="D86" s="125">
        <v>20250000306</v>
      </c>
      <c r="F86" s="125" t="s">
        <v>5856</v>
      </c>
      <c r="G86" s="125" t="s">
        <v>5857</v>
      </c>
      <c r="I86" s="214" t="s">
        <v>5858</v>
      </c>
      <c r="J86" s="212">
        <v>117.84</v>
      </c>
      <c r="K86" s="125">
        <v>117.84</v>
      </c>
      <c r="L86" s="125">
        <v>5835.03</v>
      </c>
      <c r="M86" s="125">
        <v>687600</v>
      </c>
      <c r="N86" s="125">
        <v>5835.03</v>
      </c>
      <c r="O86" s="125">
        <v>630825.69</v>
      </c>
      <c r="P86" s="1037" t="s">
        <v>5859</v>
      </c>
      <c r="Q86" s="168">
        <v>45954</v>
      </c>
      <c r="U86" s="125" t="s">
        <v>257</v>
      </c>
      <c r="V86" s="125">
        <f>40000+6600</f>
        <v>46600</v>
      </c>
      <c r="W86" s="125" t="s">
        <v>5860</v>
      </c>
      <c r="X86" s="125">
        <v>141000</v>
      </c>
      <c r="Y86" s="125" t="s">
        <v>3466</v>
      </c>
      <c r="Z86" s="125">
        <v>500000</v>
      </c>
      <c r="AA86" s="125" t="s">
        <v>3289</v>
      </c>
      <c r="AH86" s="206">
        <f t="shared" si="7"/>
        <v>687600</v>
      </c>
      <c r="AK86" s="171">
        <f t="shared" si="12"/>
        <v>0</v>
      </c>
      <c r="AL86" s="125">
        <v>18099596932</v>
      </c>
      <c r="AM86" s="125" t="s">
        <v>3362</v>
      </c>
      <c r="AO86" s="125">
        <f t="shared" si="10"/>
        <v>687600</v>
      </c>
      <c r="AP86" s="166">
        <f>0.7%+0.05%+0.1%+0.03%</f>
        <v>0.0088</v>
      </c>
      <c r="AZ86" s="125">
        <v>187600</v>
      </c>
      <c r="BA86" s="125">
        <v>500000</v>
      </c>
      <c r="BO86" s="125" t="s">
        <v>260</v>
      </c>
      <c r="BQ86" s="125" t="s">
        <v>261</v>
      </c>
    </row>
    <row r="87" s="125" customFormat="1" hidden="1" customHeight="1" spans="1:71">
      <c r="A87" s="125">
        <v>64</v>
      </c>
      <c r="B87" s="125"/>
      <c r="C87" s="210">
        <v>45701</v>
      </c>
      <c r="D87" s="125">
        <v>20250000609</v>
      </c>
      <c r="F87" s="1037" t="s">
        <v>5861</v>
      </c>
      <c r="G87" s="125" t="s">
        <v>5862</v>
      </c>
      <c r="I87" s="211" t="s">
        <v>5863</v>
      </c>
      <c r="J87" s="212">
        <v>117.84</v>
      </c>
      <c r="K87" s="125">
        <v>117.84</v>
      </c>
      <c r="L87" s="125">
        <v>6109.97</v>
      </c>
      <c r="M87" s="125">
        <v>720000</v>
      </c>
      <c r="N87" s="125">
        <v>6101.49</v>
      </c>
      <c r="O87" s="125">
        <v>660550.46</v>
      </c>
      <c r="P87" s="1037" t="s">
        <v>5864</v>
      </c>
      <c r="Q87" s="168">
        <v>45953</v>
      </c>
      <c r="U87" s="125" t="s">
        <v>408</v>
      </c>
      <c r="V87" s="125">
        <v>10000</v>
      </c>
      <c r="W87" s="125" t="s">
        <v>3413</v>
      </c>
      <c r="X87" s="125">
        <v>100000</v>
      </c>
      <c r="Y87" s="125" t="s">
        <v>5865</v>
      </c>
      <c r="Z87" s="125">
        <v>610000</v>
      </c>
      <c r="AA87" s="125" t="s">
        <v>939</v>
      </c>
      <c r="AH87" s="206">
        <f t="shared" si="7"/>
        <v>720000</v>
      </c>
      <c r="AK87" s="171">
        <f t="shared" si="12"/>
        <v>0</v>
      </c>
      <c r="AL87" s="125">
        <v>17767650597</v>
      </c>
      <c r="AM87" s="125" t="s">
        <v>5866</v>
      </c>
      <c r="AO87" s="125">
        <f t="shared" si="10"/>
        <v>720000</v>
      </c>
      <c r="AP87" s="166">
        <f>0.4%+0.04%+0.1%+0.03%</f>
        <v>0.0057</v>
      </c>
      <c r="AZ87" s="125">
        <v>110000</v>
      </c>
      <c r="BA87" s="125">
        <v>610000</v>
      </c>
      <c r="BO87" s="125" t="s">
        <v>260</v>
      </c>
      <c r="BQ87" s="125" t="s">
        <v>261</v>
      </c>
    </row>
    <row r="88" s="125" customFormat="1" hidden="1" customHeight="1" spans="1:71">
      <c r="A88" s="125">
        <v>65</v>
      </c>
      <c r="B88" s="125"/>
      <c r="C88" s="210">
        <v>45782</v>
      </c>
      <c r="D88" s="125">
        <v>20250002572</v>
      </c>
      <c r="F88" s="1037" t="s">
        <v>5867</v>
      </c>
      <c r="G88" s="125" t="s">
        <v>5868</v>
      </c>
      <c r="H88" s="1037" t="s">
        <v>5869</v>
      </c>
      <c r="I88" s="214" t="s">
        <v>5870</v>
      </c>
      <c r="J88" s="212">
        <v>117.84</v>
      </c>
      <c r="K88" s="125">
        <v>117.84</v>
      </c>
      <c r="L88" s="125">
        <v>6850</v>
      </c>
      <c r="M88" s="125">
        <v>807204</v>
      </c>
      <c r="N88" s="125">
        <v>7126.6</v>
      </c>
      <c r="O88" s="125">
        <v>740554.13</v>
      </c>
      <c r="P88" s="1037" t="s">
        <v>5871</v>
      </c>
      <c r="Q88" s="168">
        <v>45953</v>
      </c>
      <c r="U88" s="125" t="s">
        <v>561</v>
      </c>
      <c r="V88" s="125">
        <v>20000</v>
      </c>
      <c r="W88" s="125" t="s">
        <v>393</v>
      </c>
      <c r="X88" s="125">
        <v>60000</v>
      </c>
      <c r="Y88" s="125" t="s">
        <v>3563</v>
      </c>
      <c r="Z88" s="125">
        <v>87204</v>
      </c>
      <c r="AA88" s="125" t="s">
        <v>2633</v>
      </c>
      <c r="AB88" s="125">
        <v>40000</v>
      </c>
      <c r="AC88" s="125" t="s">
        <v>5872</v>
      </c>
      <c r="AD88" s="125">
        <v>600000</v>
      </c>
      <c r="AE88" s="125" t="s">
        <v>3343</v>
      </c>
      <c r="AH88" s="206">
        <f t="shared" si="7"/>
        <v>807204</v>
      </c>
      <c r="AK88" s="171">
        <f t="shared" si="12"/>
        <v>0</v>
      </c>
      <c r="AL88" s="125">
        <v>18196240028</v>
      </c>
      <c r="AM88" s="125" t="s">
        <v>5873</v>
      </c>
      <c r="AO88" s="125">
        <f t="shared" si="10"/>
        <v>807204</v>
      </c>
      <c r="AP88" s="166">
        <f>0.7%+0.03%+0.08%+0.03%</f>
        <v>0.0084</v>
      </c>
      <c r="BC88" s="125">
        <v>807204</v>
      </c>
      <c r="BO88" s="125" t="s">
        <v>260</v>
      </c>
      <c r="BQ88" s="125" t="s">
        <v>261</v>
      </c>
    </row>
    <row r="89" s="107" customFormat="1" hidden="1" customHeight="1" spans="1:71">
      <c r="A89" s="107">
        <v>66</v>
      </c>
      <c r="I89" s="231" t="s">
        <v>5874</v>
      </c>
      <c r="J89" s="230">
        <v>117.84</v>
      </c>
      <c r="N89" s="107">
        <v>7109.6</v>
      </c>
      <c r="AH89" s="194">
        <f t="shared" si="7"/>
        <v>0</v>
      </c>
      <c r="AK89" s="171">
        <f t="shared" si="12"/>
        <v>0</v>
      </c>
      <c r="AO89" s="125">
        <f t="shared" si="10"/>
        <v>0</v>
      </c>
    </row>
    <row r="90" hidden="1" customHeight="1" spans="1:71">
      <c r="AO90" s="125">
        <f t="shared" si="10"/>
        <v>0</v>
      </c>
      <c r="AP90" s="107"/>
    </row>
    <row r="91" s="193" customFormat="1" customHeight="1" spans="1:71">
      <c r="A91" s="233" t="s">
        <v>68</v>
      </c>
      <c r="B91" s="233">
        <f>SUM(B24:B89)</f>
        <v>1</v>
      </c>
      <c r="C91" s="233"/>
      <c r="J91" s="150">
        <f>SUM(J4:J90)</f>
        <v>9054.69</v>
      </c>
      <c r="K91" s="150">
        <f>SUM(K24:K90)</f>
        <v>7853.88</v>
      </c>
      <c r="M91" s="150">
        <f>SUM(M4:M90)</f>
        <v>47812177</v>
      </c>
      <c r="O91" s="193">
        <f>SUM(O24:O90)</f>
        <v>42951439.44</v>
      </c>
      <c r="R91" s="150">
        <f>SUM(R4:R90)</f>
        <v>220000</v>
      </c>
      <c r="V91" s="150">
        <f>SUM(V4:V90)</f>
        <v>2464173</v>
      </c>
      <c r="W91" s="150"/>
      <c r="X91" s="150">
        <f>SUM(X4:X90)</f>
        <v>12429676</v>
      </c>
      <c r="Y91" s="150"/>
      <c r="Z91" s="150">
        <f>SUM(Z4:Z90)</f>
        <v>17650223</v>
      </c>
      <c r="AA91" s="150"/>
      <c r="AB91" s="150">
        <f>SUM(AB4:AB90)</f>
        <v>11333323</v>
      </c>
      <c r="AC91" s="150"/>
      <c r="AD91" s="150">
        <f>SUM(AD4:AD90)</f>
        <v>3304000</v>
      </c>
      <c r="AE91" s="150"/>
      <c r="AF91" s="150">
        <f>SUM(AF4:AF90)</f>
        <v>250000</v>
      </c>
      <c r="AH91" s="234">
        <f>SUM(AH4:AH90)</f>
        <v>47431395</v>
      </c>
      <c r="AI91" s="193">
        <f>SUM(AI24:AI90)</f>
        <v>0</v>
      </c>
      <c r="AJ91" s="193">
        <f>SUM(AJ24:AJ90)</f>
        <v>0</v>
      </c>
      <c r="AK91" s="150">
        <f>SUM(AK4:AK90)</f>
        <v>380782</v>
      </c>
      <c r="AO91" s="150">
        <f>SUM(AO24:AO90)</f>
        <v>46817068</v>
      </c>
      <c r="AP91" s="235"/>
      <c r="AQ91" s="150">
        <f t="shared" ref="AQ91:BG91" si="13">SUM(AQ24:AQ90)</f>
        <v>392712</v>
      </c>
      <c r="AR91" s="150">
        <f t="shared" si="13"/>
        <v>2614248</v>
      </c>
      <c r="AS91" s="150">
        <f t="shared" si="13"/>
        <v>3052429</v>
      </c>
      <c r="AT91" s="150">
        <f t="shared" si="13"/>
        <v>3787691</v>
      </c>
      <c r="AU91" s="150">
        <f t="shared" si="13"/>
        <v>2088480</v>
      </c>
      <c r="AV91" s="150">
        <f t="shared" si="13"/>
        <v>6670046</v>
      </c>
      <c r="AW91" s="150">
        <f t="shared" si="13"/>
        <v>5887164</v>
      </c>
      <c r="AX91" s="150">
        <f t="shared" si="13"/>
        <v>6750428</v>
      </c>
      <c r="AY91" s="150">
        <f t="shared" si="13"/>
        <v>3254906</v>
      </c>
      <c r="AZ91" s="150">
        <f t="shared" si="13"/>
        <v>567600</v>
      </c>
      <c r="BA91" s="150">
        <f t="shared" si="13"/>
        <v>2344000</v>
      </c>
      <c r="BB91" s="150">
        <f t="shared" si="13"/>
        <v>1157517</v>
      </c>
      <c r="BC91" s="150">
        <f t="shared" si="13"/>
        <v>2761962</v>
      </c>
      <c r="BD91" s="150">
        <f t="shared" si="13"/>
        <v>1160000</v>
      </c>
      <c r="BE91" s="150">
        <f t="shared" si="13"/>
        <v>1157000</v>
      </c>
      <c r="BF91" s="150"/>
      <c r="BG91" s="150"/>
      <c r="BH91" s="150"/>
      <c r="BI91" s="150"/>
      <c r="BJ91" s="150"/>
      <c r="BK91" s="150"/>
      <c r="BL91" s="150">
        <f>SUM(BL24:BL90)</f>
        <v>0</v>
      </c>
      <c r="BM91" s="150">
        <f>SUM(BM24:BM90)</f>
        <v>0</v>
      </c>
      <c r="BQ91" s="193">
        <f t="shared" ref="BQ91:BS91" si="14">SUM(BQ24:BQ90)</f>
        <v>0</v>
      </c>
      <c r="BR91" s="193">
        <f t="shared" si="14"/>
        <v>0</v>
      </c>
      <c r="BS91" s="193">
        <f t="shared" si="14"/>
        <v>0</v>
      </c>
    </row>
    <row r="92" customHeight="1" spans="1:71">
      <c r="AP92" s="236"/>
    </row>
    <row r="93" customHeight="1" spans="1:71">
      <c r="Q93" s="107" t="s">
        <v>5875</v>
      </c>
      <c r="AP93" s="236"/>
    </row>
    <row r="94" customHeight="1" spans="1:71">
      <c r="Q94" s="107" t="s">
        <v>3171</v>
      </c>
      <c r="R94" s="107">
        <v>220000</v>
      </c>
      <c r="AP94" s="236"/>
    </row>
    <row r="95" customHeight="1" spans="1:71">
      <c r="Q95" s="107" t="s">
        <v>94</v>
      </c>
      <c r="AP95" s="236"/>
    </row>
    <row r="96" customHeight="1" spans="1:71">
      <c r="Q96" s="107" t="s">
        <v>5876</v>
      </c>
      <c r="S96" s="178"/>
      <c r="AP96" s="236"/>
    </row>
    <row r="97" customHeight="1" spans="42:42">
      <c r="AP97" s="236"/>
    </row>
    <row r="98" customHeight="1" spans="42:42">
      <c r="AP98" s="236"/>
    </row>
    <row r="99" customHeight="1" spans="42:42">
      <c r="AP99" s="236"/>
    </row>
    <row r="100" customHeight="1" spans="42:42">
      <c r="AP100" s="236"/>
    </row>
    <row r="101" customHeight="1" spans="42:42">
      <c r="AP101" s="236"/>
    </row>
    <row r="102" customHeight="1" spans="42:42">
      <c r="AP102" s="236"/>
    </row>
  </sheetData>
  <autoFilter xmlns:etc="http://www.wps.cn/officeDocument/2017/etCustomData" ref="A3:BX91" etc:filterBottomFollowUsedRange="0">
    <filterColumn colId="1">
      <customFilters>
        <customFilter operator="equal" val="1"/>
      </customFilters>
    </filterColumn>
    <extLst/>
  </autoFilter>
  <mergeCells count="50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Q2:BS3"/>
  </mergeCells>
  <conditionalFormatting sqref="J37">
    <cfRule type="expression" dxfId="1" priority="1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</conditionalFormatting>
  <conditionalFormatting sqref="J32:J33">
    <cfRule type="expression" dxfId="1" priority="31" stopIfTrue="1">
      <formula>$F32&lt;&gt;0</formula>
    </cfRule>
  </conditionalFormatting>
  <conditionalFormatting sqref="J34:J35">
    <cfRule type="expression" dxfId="1" priority="29" stopIfTrue="1">
      <formula>$F34&lt;&gt;0</formula>
    </cfRule>
  </conditionalFormatting>
  <conditionalFormatting sqref="J38:J39">
    <cfRule type="expression" dxfId="1" priority="27" stopIfTrue="1">
      <formula>$F38&lt;&gt;0</formula>
    </cfRule>
  </conditionalFormatting>
  <conditionalFormatting sqref="J46:J47">
    <cfRule type="expression" dxfId="1" priority="25" stopIfTrue="1">
      <formula>$F46&lt;&gt;0</formula>
    </cfRule>
  </conditionalFormatting>
  <conditionalFormatting sqref="J48:J49">
    <cfRule type="expression" dxfId="1" priority="23" stopIfTrue="1">
      <formula>$F48&lt;&gt;0</formula>
    </cfRule>
  </conditionalFormatting>
  <conditionalFormatting sqref="J52:J53">
    <cfRule type="expression" dxfId="1" priority="21" stopIfTrue="1">
      <formula>$F52&lt;&gt;0</formula>
    </cfRule>
  </conditionalFormatting>
  <conditionalFormatting sqref="J54:J55">
    <cfRule type="expression" dxfId="1" priority="19" stopIfTrue="1">
      <formula>$F54&lt;&gt;0</formula>
    </cfRule>
  </conditionalFormatting>
  <conditionalFormatting sqref="J57:J59">
    <cfRule type="expression" dxfId="1" priority="42" stopIfTrue="1">
      <formula>$F57&lt;&gt;0</formula>
    </cfRule>
  </conditionalFormatting>
  <conditionalFormatting sqref="J60:J62">
    <cfRule type="expression" dxfId="1" priority="40" stopIfTrue="1">
      <formula>$F60&lt;&gt;0</formula>
    </cfRule>
  </conditionalFormatting>
  <conditionalFormatting sqref="J63:J64">
    <cfRule type="expression" dxfId="1" priority="17" stopIfTrue="1">
      <formula>$F63&lt;&gt;0</formula>
    </cfRule>
  </conditionalFormatting>
  <conditionalFormatting sqref="J67:J68">
    <cfRule type="expression" dxfId="1" priority="15" stopIfTrue="1">
      <formula>$F67&lt;&gt;0</formula>
    </cfRule>
  </conditionalFormatting>
  <conditionalFormatting sqref="J69:J70">
    <cfRule type="expression" dxfId="1" priority="13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24:J29 J40:J45 J71:J78">
    <cfRule type="expression" dxfId="1" priority="49" stopIfTrue="1">
      <formula>$F24&lt;&gt;0</formula>
    </cfRule>
  </conditionalFormatting>
  <conditionalFormatting sqref="J36:J37 J50:J51 J65:J66">
    <cfRule type="expression" dxfId="1" priority="46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autoPageBreaks="0"/>
  </sheetPr>
  <dimension ref="A1:BS174"/>
  <sheetViews>
    <sheetView zoomScale="85" zoomScaleNormal="85" workbookViewId="0">
      <pane ySplit="3" topLeftCell="A4" activePane="bottomLeft" state="frozen"/>
      <selection/>
      <selection pane="bottomLeft" activeCell="I180" sqref="I180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7" customWidth="1"/>
    <col min="4" max="5" width="14" style="107" customWidth="1"/>
    <col min="6" max="6" width="9" style="107"/>
    <col min="7" max="7" width="22.6583333333333" style="107" customWidth="1"/>
    <col min="8" max="8" width="18.8166666666667" style="107" customWidth="1"/>
    <col min="9" max="9" width="12.625" style="107" customWidth="1"/>
    <col min="10" max="10" width="10.775" style="107" customWidth="1"/>
    <col min="11" max="11" width="14.125" style="107"/>
    <col min="12" max="12" width="12.875" style="107"/>
    <col min="13" max="13" width="12.625" style="107"/>
    <col min="14" max="14" width="19.125" style="107"/>
    <col min="15" max="15" width="9.375" style="107" customWidth="1"/>
    <col min="16" max="16" width="18.675" style="107" customWidth="1"/>
    <col min="17" max="17" width="16.75" style="107" customWidth="1"/>
    <col min="18" max="18" width="15.5" style="107" customWidth="1"/>
    <col min="19" max="19" width="16.25" style="107" customWidth="1"/>
    <col min="20" max="20" width="12.025" style="107" customWidth="1"/>
    <col min="21" max="21" width="9" style="107" customWidth="1"/>
    <col min="22" max="22" width="9.53333333333333" style="107" customWidth="1"/>
    <col min="23" max="23" width="16.875" style="107" customWidth="1"/>
    <col min="24" max="24" width="11.375" style="107" customWidth="1"/>
    <col min="25" max="25" width="19.2166666666667" style="107" customWidth="1"/>
    <col min="26" max="26" width="10.75" style="107" customWidth="1"/>
    <col min="27" max="27" width="17.5" style="107" customWidth="1"/>
    <col min="28" max="28" width="13.875" style="107" customWidth="1"/>
    <col min="29" max="29" width="18.375" style="107" customWidth="1"/>
    <col min="30" max="30" width="11.25" style="107" customWidth="1"/>
    <col min="31" max="31" width="17.5" style="107" customWidth="1"/>
    <col min="32" max="32" width="10.375" style="107" customWidth="1"/>
    <col min="33" max="34" width="9" style="107" customWidth="1"/>
    <col min="35" max="35" width="18.875" style="156" customWidth="1"/>
    <col min="36" max="37" width="9" style="107" customWidth="1"/>
    <col min="38" max="38" width="17.5" style="107" customWidth="1"/>
    <col min="39" max="39" width="16.5" style="107" customWidth="1"/>
    <col min="40" max="40" width="36.875" style="107" customWidth="1"/>
    <col min="41" max="41" width="9" style="107" customWidth="1"/>
    <col min="42" max="42" width="18" style="156" customWidth="1"/>
    <col min="43" max="43" width="8.375" style="107" customWidth="1"/>
    <col min="44" max="45" width="13.875" style="107" customWidth="1"/>
    <col min="46" max="50" width="18" style="107" customWidth="1"/>
    <col min="51" max="61" width="17.875" style="107" customWidth="1"/>
    <col min="62" max="62" width="9" style="107" customWidth="1"/>
    <col min="63" max="63" width="14.125" style="107"/>
    <col min="64" max="64" width="11.7166666666667" style="107" customWidth="1"/>
    <col min="65" max="67" width="9" style="107"/>
    <col min="68" max="68" width="13.7416666666667" style="107" customWidth="1"/>
    <col min="69" max="69" width="13.5916666666667" style="107" customWidth="1"/>
    <col min="70" max="70" width="11.5583333333333" style="107" customWidth="1"/>
    <col min="71" max="16384" width="9" style="107"/>
  </cols>
  <sheetData>
    <row r="1" s="101" customFormat="1" customHeight="1" spans="1:70">
      <c r="A1" s="110" t="s">
        <v>5507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1"/>
      <c r="AJ1" s="110"/>
      <c r="AK1" s="110"/>
      <c r="AL1" s="110"/>
      <c r="AM1" s="110"/>
      <c r="AN1" s="110"/>
      <c r="AO1" s="110"/>
      <c r="AP1" s="157"/>
      <c r="AQ1" s="158"/>
    </row>
    <row r="2" s="102" customFormat="1" customHeight="1" spans="1:70">
      <c r="A2" s="110" t="s">
        <v>38</v>
      </c>
      <c r="B2" s="102" t="s">
        <v>172</v>
      </c>
      <c r="C2" s="113" t="s">
        <v>173</v>
      </c>
      <c r="D2" s="102" t="s">
        <v>174</v>
      </c>
      <c r="G2" s="102" t="s">
        <v>176</v>
      </c>
      <c r="H2" s="102" t="s">
        <v>177</v>
      </c>
      <c r="I2" s="102" t="s">
        <v>175</v>
      </c>
      <c r="J2" s="102" t="s">
        <v>179</v>
      </c>
      <c r="K2" s="114" t="s">
        <v>1145</v>
      </c>
      <c r="L2" s="102" t="s">
        <v>181</v>
      </c>
      <c r="M2" s="102" t="s">
        <v>182</v>
      </c>
      <c r="N2" s="115" t="s">
        <v>183</v>
      </c>
      <c r="O2" s="119" t="s">
        <v>184</v>
      </c>
      <c r="P2" s="117" t="s">
        <v>186</v>
      </c>
      <c r="Q2" s="118"/>
      <c r="R2" s="118"/>
      <c r="S2" s="119" t="s">
        <v>187</v>
      </c>
      <c r="T2" s="120" t="s">
        <v>188</v>
      </c>
      <c r="U2" s="110" t="s">
        <v>189</v>
      </c>
      <c r="V2" s="120" t="s">
        <v>190</v>
      </c>
      <c r="W2" s="115" t="s">
        <v>191</v>
      </c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1" t="s">
        <v>192</v>
      </c>
      <c r="AJ2" s="113" t="s">
        <v>56</v>
      </c>
      <c r="AK2" s="102" t="s">
        <v>194</v>
      </c>
      <c r="AL2" s="118" t="s">
        <v>59</v>
      </c>
      <c r="AM2" s="102" t="s">
        <v>195</v>
      </c>
      <c r="AN2" s="102" t="s">
        <v>47</v>
      </c>
      <c r="AO2" s="102" t="s">
        <v>1147</v>
      </c>
      <c r="AP2" s="159" t="s">
        <v>205</v>
      </c>
      <c r="AQ2" s="160" t="s">
        <v>206</v>
      </c>
      <c r="AR2" s="122" t="s">
        <v>5509</v>
      </c>
      <c r="AS2" s="122" t="s">
        <v>5510</v>
      </c>
      <c r="AT2" s="122" t="s">
        <v>5511</v>
      </c>
      <c r="AU2" s="122" t="s">
        <v>5512</v>
      </c>
      <c r="AV2" s="122" t="s">
        <v>5513</v>
      </c>
      <c r="AW2" s="122" t="s">
        <v>5514</v>
      </c>
      <c r="AX2" s="122" t="s">
        <v>3209</v>
      </c>
      <c r="AY2" s="122" t="s">
        <v>3210</v>
      </c>
      <c r="AZ2" s="122" t="s">
        <v>3211</v>
      </c>
      <c r="BA2" s="122" t="s">
        <v>3212</v>
      </c>
      <c r="BB2" s="122" t="s">
        <v>5515</v>
      </c>
      <c r="BC2" s="122" t="s">
        <v>5516</v>
      </c>
      <c r="BD2" s="122" t="s">
        <v>5517</v>
      </c>
      <c r="BE2" s="122" t="s">
        <v>5518</v>
      </c>
      <c r="BF2" s="122" t="s">
        <v>5877</v>
      </c>
      <c r="BG2" s="122" t="s">
        <v>5519</v>
      </c>
      <c r="BH2" s="122" t="s">
        <v>5520</v>
      </c>
      <c r="BI2" s="122" t="s">
        <v>5878</v>
      </c>
      <c r="BJ2" s="123"/>
      <c r="BK2" s="102" t="s">
        <v>235</v>
      </c>
      <c r="BM2" s="102" t="s">
        <v>108</v>
      </c>
      <c r="BN2" s="102" t="s">
        <v>236</v>
      </c>
    </row>
    <row r="3" s="102" customFormat="1" customHeight="1" spans="1:70">
      <c r="A3" s="110"/>
      <c r="C3" s="113"/>
      <c r="F3" s="102" t="s">
        <v>1176</v>
      </c>
      <c r="K3" s="117"/>
      <c r="N3" s="115"/>
      <c r="O3" s="119"/>
      <c r="P3" s="117" t="s">
        <v>238</v>
      </c>
      <c r="Q3" s="118" t="s">
        <v>1177</v>
      </c>
      <c r="R3" s="118" t="s">
        <v>1178</v>
      </c>
      <c r="S3" s="115"/>
      <c r="T3" s="120"/>
      <c r="U3" s="110"/>
      <c r="V3" s="120"/>
      <c r="W3" s="115" t="s">
        <v>240</v>
      </c>
      <c r="X3" s="102" t="s">
        <v>241</v>
      </c>
      <c r="Y3" s="115" t="s">
        <v>242</v>
      </c>
      <c r="Z3" s="124" t="s">
        <v>241</v>
      </c>
      <c r="AA3" s="102" t="s">
        <v>243</v>
      </c>
      <c r="AB3" s="117" t="s">
        <v>241</v>
      </c>
      <c r="AC3" s="115" t="s">
        <v>244</v>
      </c>
      <c r="AD3" s="102" t="s">
        <v>241</v>
      </c>
      <c r="AE3" s="102" t="s">
        <v>245</v>
      </c>
      <c r="AF3" s="102" t="s">
        <v>241</v>
      </c>
      <c r="AG3" s="102" t="s">
        <v>246</v>
      </c>
      <c r="AH3" s="102" t="s">
        <v>241</v>
      </c>
      <c r="AI3" s="111"/>
      <c r="AL3" s="118"/>
      <c r="AP3" s="159"/>
      <c r="AQ3" s="160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3"/>
      <c r="BR3" s="102" t="s">
        <v>5879</v>
      </c>
    </row>
    <row r="4" s="107" customFormat="1" hidden="1" customHeight="1" spans="1:70">
      <c r="J4" s="161" t="s">
        <v>5880</v>
      </c>
      <c r="K4" s="162">
        <v>72.03</v>
      </c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I4" s="156">
        <f>W4+Y4+AA4+AC4+AE4+AG4</f>
        <v>0</v>
      </c>
      <c r="AP4" s="101">
        <f>SUM(AR4:BJ4)</f>
        <v>0</v>
      </c>
    </row>
    <row r="5" s="107" customFormat="1" hidden="1" customHeight="1" spans="1:70">
      <c r="J5" s="161" t="s">
        <v>5881</v>
      </c>
      <c r="K5" s="162">
        <v>71.26</v>
      </c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I5" s="156">
        <f t="shared" ref="AI5:AI36" si="0">W5+Y5+AA5+AC5+AE5+AG5</f>
        <v>0</v>
      </c>
      <c r="AP5" s="101">
        <f t="shared" ref="AP5:AP18" si="1">SUM(AR5:BJ5)</f>
        <v>0</v>
      </c>
    </row>
    <row r="6" s="107" customFormat="1" hidden="1" customHeight="1" spans="1:70">
      <c r="J6" s="161" t="s">
        <v>5882</v>
      </c>
      <c r="K6" s="162">
        <v>50.87</v>
      </c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I6" s="156">
        <f t="shared" si="0"/>
        <v>0</v>
      </c>
      <c r="AP6" s="101">
        <f t="shared" si="1"/>
        <v>0</v>
      </c>
    </row>
    <row r="7" s="107" customFormat="1" hidden="1" customHeight="1" spans="1:70">
      <c r="J7" s="161" t="s">
        <v>5883</v>
      </c>
      <c r="K7" s="162">
        <v>71.71</v>
      </c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I7" s="156">
        <f t="shared" si="0"/>
        <v>0</v>
      </c>
      <c r="AP7" s="101">
        <f t="shared" si="1"/>
        <v>0</v>
      </c>
    </row>
    <row r="8" s="107" customFormat="1" hidden="1" customHeight="1" spans="1:70">
      <c r="J8" s="161" t="s">
        <v>5884</v>
      </c>
      <c r="K8" s="162">
        <v>71.71</v>
      </c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I8" s="156">
        <f t="shared" si="0"/>
        <v>0</v>
      </c>
      <c r="AP8" s="101">
        <f t="shared" si="1"/>
        <v>0</v>
      </c>
    </row>
    <row r="9" s="107" customFormat="1" hidden="1" customHeight="1" spans="1:70">
      <c r="J9" s="161" t="s">
        <v>5885</v>
      </c>
      <c r="K9" s="162">
        <v>72.01</v>
      </c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I9" s="156">
        <f t="shared" si="0"/>
        <v>0</v>
      </c>
      <c r="AP9" s="101">
        <f t="shared" si="1"/>
        <v>0</v>
      </c>
    </row>
    <row r="10" s="107" customFormat="1" hidden="1" customHeight="1" spans="1:70">
      <c r="J10" s="161" t="s">
        <v>5886</v>
      </c>
      <c r="K10" s="162">
        <v>48.19</v>
      </c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I10" s="156">
        <f t="shared" si="0"/>
        <v>0</v>
      </c>
      <c r="AP10" s="101">
        <f t="shared" si="1"/>
        <v>0</v>
      </c>
    </row>
    <row r="11" s="107" customFormat="1" hidden="1" customHeight="1" spans="1:70">
      <c r="J11" s="161" t="s">
        <v>5887</v>
      </c>
      <c r="K11" s="162">
        <v>32.2</v>
      </c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I11" s="156">
        <f t="shared" si="0"/>
        <v>0</v>
      </c>
      <c r="AP11" s="101">
        <f t="shared" si="1"/>
        <v>0</v>
      </c>
    </row>
    <row r="12" s="107" customFormat="1" hidden="1" customHeight="1" spans="1:70">
      <c r="J12" s="161" t="s">
        <v>5888</v>
      </c>
      <c r="K12" s="162">
        <v>47.09</v>
      </c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I12" s="156">
        <f t="shared" si="0"/>
        <v>0</v>
      </c>
      <c r="AP12" s="101">
        <f t="shared" si="1"/>
        <v>0</v>
      </c>
    </row>
    <row r="13" s="107" customFormat="1" hidden="1" customHeight="1" spans="1:70">
      <c r="J13" s="161" t="s">
        <v>5889</v>
      </c>
      <c r="K13" s="162">
        <v>47.09</v>
      </c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I13" s="156">
        <f t="shared" si="0"/>
        <v>0</v>
      </c>
      <c r="AP13" s="101">
        <f t="shared" si="1"/>
        <v>0</v>
      </c>
    </row>
    <row r="14" s="107" customFormat="1" hidden="1" customHeight="1" spans="1:70">
      <c r="J14" s="161" t="s">
        <v>5890</v>
      </c>
      <c r="K14" s="162">
        <v>48.17</v>
      </c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I14" s="156">
        <f t="shared" si="0"/>
        <v>0</v>
      </c>
      <c r="AP14" s="101">
        <f t="shared" si="1"/>
        <v>0</v>
      </c>
    </row>
    <row r="15" s="107" customFormat="1" hidden="1" customHeight="1" spans="1:70">
      <c r="J15" s="161" t="s">
        <v>5891</v>
      </c>
      <c r="K15" s="162">
        <v>32.22</v>
      </c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I15" s="156">
        <f t="shared" si="0"/>
        <v>0</v>
      </c>
      <c r="AP15" s="101">
        <f t="shared" si="1"/>
        <v>0</v>
      </c>
    </row>
    <row r="16" s="107" customFormat="1" hidden="1" customHeight="1" spans="1:70">
      <c r="J16" s="161" t="s">
        <v>5892</v>
      </c>
      <c r="K16" s="162">
        <v>32.2</v>
      </c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I16" s="156">
        <f t="shared" si="0"/>
        <v>0</v>
      </c>
      <c r="AP16" s="101">
        <f t="shared" si="1"/>
        <v>0</v>
      </c>
    </row>
    <row r="17" s="107" customFormat="1" hidden="1" customHeight="1" spans="1:65">
      <c r="J17" s="161" t="s">
        <v>5893</v>
      </c>
      <c r="K17" s="162">
        <v>48.19</v>
      </c>
      <c r="L17" s="107" t="s">
        <v>5894</v>
      </c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I17" s="156">
        <f t="shared" si="0"/>
        <v>0</v>
      </c>
      <c r="AP17" s="101">
        <f t="shared" si="1"/>
        <v>0</v>
      </c>
    </row>
    <row r="18" s="125" customFormat="1" hidden="1" customHeight="1" spans="1:65">
      <c r="A18" s="125">
        <v>1</v>
      </c>
      <c r="B18" s="125"/>
      <c r="G18" s="125" t="s">
        <v>5550</v>
      </c>
      <c r="H18" s="125" t="s">
        <v>5895</v>
      </c>
      <c r="J18" s="163" t="s">
        <v>5896</v>
      </c>
      <c r="K18" s="164">
        <v>129.06</v>
      </c>
      <c r="L18" s="125">
        <v>129.06</v>
      </c>
      <c r="M18" s="125">
        <v>8601</v>
      </c>
      <c r="N18" s="125">
        <v>1110045</v>
      </c>
      <c r="O18" s="125">
        <v>8300.31</v>
      </c>
      <c r="V18" s="125" t="s">
        <v>277</v>
      </c>
      <c r="W18" s="125">
        <v>2000</v>
      </c>
      <c r="X18" s="125" t="s">
        <v>554</v>
      </c>
      <c r="Y18" s="125"/>
      <c r="Z18" s="125"/>
      <c r="AI18" s="165">
        <f t="shared" si="0"/>
        <v>2000</v>
      </c>
      <c r="AL18" s="125">
        <f>N18-AI18</f>
        <v>1108045</v>
      </c>
      <c r="AN18" s="125" t="s">
        <v>4581</v>
      </c>
      <c r="AP18" s="125">
        <f t="shared" si="1"/>
        <v>0</v>
      </c>
      <c r="AQ18" s="166">
        <f>0.4%+0.02%+0.08%</f>
        <v>0.005</v>
      </c>
    </row>
    <row r="19" s="107" customFormat="1" hidden="1" customHeight="1" spans="1:65">
      <c r="A19" s="107">
        <v>2</v>
      </c>
      <c r="B19" s="107"/>
      <c r="C19" s="107"/>
      <c r="D19" s="107"/>
      <c r="J19" s="167" t="s">
        <v>5897</v>
      </c>
      <c r="K19" s="162">
        <v>109.7</v>
      </c>
      <c r="L19" s="107"/>
      <c r="M19" s="107"/>
      <c r="N19" s="107"/>
      <c r="O19" s="107">
        <v>8525.31</v>
      </c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I19" s="156">
        <f t="shared" si="0"/>
        <v>0</v>
      </c>
      <c r="AP19" s="101">
        <f t="shared" ref="AP19:AP30" si="2">SUM(AR19:BJ19)</f>
        <v>0</v>
      </c>
    </row>
    <row r="20" s="107" customFormat="1" hidden="1" customHeight="1" spans="1:65">
      <c r="A20" s="107">
        <v>3</v>
      </c>
      <c r="B20" s="107"/>
      <c r="C20" s="107"/>
      <c r="D20" s="107"/>
      <c r="J20" s="161" t="s">
        <v>5898</v>
      </c>
      <c r="K20" s="162">
        <v>126.91</v>
      </c>
      <c r="L20" s="107"/>
      <c r="M20" s="107"/>
      <c r="N20" s="107"/>
      <c r="O20" s="107">
        <v>5783.41</v>
      </c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I20" s="156">
        <f t="shared" si="0"/>
        <v>0</v>
      </c>
      <c r="AP20" s="101">
        <f t="shared" si="2"/>
        <v>0</v>
      </c>
    </row>
    <row r="21" s="107" customFormat="1" hidden="1" customHeight="1" spans="1:65">
      <c r="A21" s="107">
        <v>4</v>
      </c>
      <c r="B21" s="107"/>
      <c r="C21" s="107"/>
      <c r="D21" s="107"/>
      <c r="J21" s="167" t="s">
        <v>5899</v>
      </c>
      <c r="K21" s="162">
        <v>126.5</v>
      </c>
      <c r="L21" s="107"/>
      <c r="M21" s="107"/>
      <c r="N21" s="107"/>
      <c r="O21" s="107">
        <v>5774.41</v>
      </c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I21" s="156">
        <f t="shared" si="0"/>
        <v>0</v>
      </c>
      <c r="AP21" s="101">
        <f t="shared" si="2"/>
        <v>0</v>
      </c>
    </row>
    <row r="22" s="125" customFormat="1" hidden="1" customHeight="1" spans="1:65">
      <c r="A22" s="125">
        <v>5</v>
      </c>
      <c r="B22" s="125"/>
      <c r="C22" s="168">
        <v>45836</v>
      </c>
      <c r="D22" s="125">
        <v>20250003486</v>
      </c>
      <c r="E22" s="125"/>
      <c r="F22" s="125"/>
      <c r="G22" s="1037" t="s">
        <v>5900</v>
      </c>
      <c r="H22" s="125" t="s">
        <v>5901</v>
      </c>
      <c r="I22" s="1037" t="s">
        <v>5902</v>
      </c>
      <c r="J22" s="163" t="s">
        <v>5903</v>
      </c>
      <c r="K22" s="164">
        <v>126.91</v>
      </c>
      <c r="L22" s="125">
        <v>126.91</v>
      </c>
      <c r="M22" s="125">
        <v>5800</v>
      </c>
      <c r="N22" s="125">
        <v>736078</v>
      </c>
      <c r="O22" s="125">
        <v>5800</v>
      </c>
      <c r="P22" s="125"/>
      <c r="Q22" s="125"/>
      <c r="R22" s="125"/>
      <c r="S22" s="125"/>
      <c r="T22" s="168"/>
      <c r="U22" s="125"/>
      <c r="V22" s="125" t="s">
        <v>257</v>
      </c>
      <c r="W22" s="125">
        <v>20000</v>
      </c>
      <c r="X22" s="125" t="s">
        <v>3550</v>
      </c>
      <c r="Y22" s="125">
        <v>128078</v>
      </c>
      <c r="Z22" s="125" t="s">
        <v>5904</v>
      </c>
      <c r="AA22" s="125">
        <v>588000</v>
      </c>
      <c r="AB22" s="168">
        <v>45874</v>
      </c>
      <c r="AI22" s="165">
        <f t="shared" si="0"/>
        <v>736078</v>
      </c>
      <c r="AL22" s="125">
        <f t="shared" ref="AL22:AL27" si="3">N22-AI22</f>
        <v>0</v>
      </c>
      <c r="AM22" s="125">
        <v>18999192182</v>
      </c>
      <c r="AN22" s="125" t="s">
        <v>5905</v>
      </c>
      <c r="AP22" s="125">
        <f t="shared" si="2"/>
        <v>736078</v>
      </c>
      <c r="AQ22" s="169">
        <f>0.7%+0.05%+0.08%+0.03%</f>
        <v>0.0086</v>
      </c>
      <c r="AZ22" s="125">
        <v>148078</v>
      </c>
      <c r="BB22" s="125">
        <v>588000</v>
      </c>
      <c r="BM22" s="125" t="s">
        <v>2707</v>
      </c>
    </row>
    <row r="23" s="125" customFormat="1" hidden="1" customHeight="1" spans="1:65">
      <c r="A23" s="125">
        <v>6</v>
      </c>
      <c r="B23" s="125"/>
      <c r="C23" s="168">
        <v>45780</v>
      </c>
      <c r="D23" s="125">
        <v>20250002430</v>
      </c>
      <c r="G23" s="1037" t="s">
        <v>5906</v>
      </c>
      <c r="H23" s="125" t="s">
        <v>5907</v>
      </c>
      <c r="I23" s="125"/>
      <c r="J23" s="170" t="s">
        <v>5908</v>
      </c>
      <c r="K23" s="164">
        <v>126.5</v>
      </c>
      <c r="L23" s="125">
        <v>126.5</v>
      </c>
      <c r="M23" s="125">
        <v>5764.664</v>
      </c>
      <c r="N23" s="125">
        <v>729230</v>
      </c>
      <c r="O23" s="125">
        <v>5764.664</v>
      </c>
      <c r="P23" s="125"/>
      <c r="Q23" s="125"/>
      <c r="R23" s="125"/>
      <c r="S23" s="125"/>
      <c r="T23" s="125"/>
      <c r="U23" s="125"/>
      <c r="V23" s="125"/>
      <c r="W23" s="125">
        <f>189230+20000</f>
        <v>209230</v>
      </c>
      <c r="X23" s="125" t="s">
        <v>3563</v>
      </c>
      <c r="Y23" s="125">
        <v>520000</v>
      </c>
      <c r="Z23" s="125" t="s">
        <v>1043</v>
      </c>
      <c r="AI23" s="165">
        <f t="shared" si="0"/>
        <v>729230</v>
      </c>
      <c r="AL23" s="125">
        <f t="shared" si="3"/>
        <v>0</v>
      </c>
      <c r="AM23" s="125">
        <v>15099227108</v>
      </c>
      <c r="AN23" s="125" t="s">
        <v>3284</v>
      </c>
      <c r="AP23" s="165">
        <f t="shared" si="2"/>
        <v>729230</v>
      </c>
      <c r="AQ23" s="166">
        <f>0.4%+0.08%+0.03%</f>
        <v>0.0051</v>
      </c>
      <c r="AY23" s="125">
        <v>209230</v>
      </c>
      <c r="AZ23" s="125">
        <v>520000</v>
      </c>
      <c r="BM23" s="125" t="s">
        <v>260</v>
      </c>
    </row>
    <row r="24" s="125" customFormat="1" hidden="1" customHeight="1" spans="1:65">
      <c r="A24" s="125">
        <v>7</v>
      </c>
      <c r="B24" s="125"/>
      <c r="C24" s="168">
        <v>45864</v>
      </c>
      <c r="D24" s="125">
        <v>20250003942</v>
      </c>
      <c r="G24" s="1037" t="s">
        <v>5909</v>
      </c>
      <c r="H24" s="125" t="s">
        <v>5910</v>
      </c>
      <c r="I24" s="1037" t="s">
        <v>5911</v>
      </c>
      <c r="J24" s="163" t="s">
        <v>5912</v>
      </c>
      <c r="K24" s="164">
        <v>126.91</v>
      </c>
      <c r="L24" s="125">
        <v>126.91</v>
      </c>
      <c r="M24" s="125">
        <v>5815.14</v>
      </c>
      <c r="N24" s="125">
        <v>738000</v>
      </c>
      <c r="O24" s="125">
        <v>5815.14</v>
      </c>
      <c r="P24" s="125"/>
      <c r="Q24" s="125"/>
      <c r="R24" s="125"/>
      <c r="S24" s="125"/>
      <c r="T24" s="168"/>
      <c r="U24" s="125"/>
      <c r="V24" s="125" t="s">
        <v>284</v>
      </c>
      <c r="W24" s="125">
        <v>20000</v>
      </c>
      <c r="X24" s="125" t="s">
        <v>3577</v>
      </c>
      <c r="Y24" s="125">
        <v>200000</v>
      </c>
      <c r="Z24" s="168" t="s">
        <v>5913</v>
      </c>
      <c r="AA24" s="125">
        <v>80000</v>
      </c>
      <c r="AB24" s="168">
        <v>45877</v>
      </c>
      <c r="AC24" s="125">
        <v>438000</v>
      </c>
      <c r="AD24" s="168">
        <v>45924</v>
      </c>
      <c r="AI24" s="165">
        <f t="shared" si="0"/>
        <v>738000</v>
      </c>
      <c r="AL24" s="125">
        <f t="shared" si="3"/>
        <v>0</v>
      </c>
      <c r="AM24" s="125">
        <v>15001588945</v>
      </c>
      <c r="AN24" s="125" t="s">
        <v>3284</v>
      </c>
      <c r="AP24" s="165">
        <f t="shared" si="2"/>
        <v>738000</v>
      </c>
      <c r="AQ24" s="169">
        <f>0.4%+0.02%+0.08%+0.03%</f>
        <v>0.0053</v>
      </c>
      <c r="BA24" s="125">
        <v>220000</v>
      </c>
      <c r="BC24" s="125">
        <v>518000</v>
      </c>
      <c r="BM24" s="125" t="s">
        <v>2707</v>
      </c>
    </row>
    <row r="25" s="125" customFormat="1" hidden="1" customHeight="1" spans="1:65">
      <c r="A25" s="125">
        <v>8</v>
      </c>
      <c r="B25" s="125"/>
      <c r="C25" s="168">
        <v>45778</v>
      </c>
      <c r="D25" s="125">
        <v>20250002226</v>
      </c>
      <c r="G25" s="1037" t="s">
        <v>5914</v>
      </c>
      <c r="H25" s="125" t="s">
        <v>5915</v>
      </c>
      <c r="I25" s="1037" t="s">
        <v>5037</v>
      </c>
      <c r="J25" s="170" t="s">
        <v>5916</v>
      </c>
      <c r="K25" s="164">
        <v>126.5</v>
      </c>
      <c r="L25" s="125">
        <v>126.5</v>
      </c>
      <c r="M25" s="171">
        <v>5833.99</v>
      </c>
      <c r="N25" s="125">
        <v>738000</v>
      </c>
      <c r="O25" s="125">
        <v>5833.99</v>
      </c>
      <c r="P25" s="125"/>
      <c r="Q25" s="125"/>
      <c r="R25" s="125"/>
      <c r="S25" s="125"/>
      <c r="T25" s="125"/>
      <c r="U25" s="125"/>
      <c r="V25" s="125"/>
      <c r="W25" s="125">
        <v>20000</v>
      </c>
      <c r="X25" s="125" t="s">
        <v>3549</v>
      </c>
      <c r="Y25" s="125">
        <v>118000</v>
      </c>
      <c r="Z25" s="125" t="s">
        <v>3563</v>
      </c>
      <c r="AA25" s="125">
        <v>70000</v>
      </c>
      <c r="AB25" s="125" t="s">
        <v>3123</v>
      </c>
      <c r="AC25" s="125">
        <v>530000</v>
      </c>
      <c r="AD25" s="125" t="s">
        <v>3564</v>
      </c>
      <c r="AI25" s="165">
        <f t="shared" si="0"/>
        <v>738000</v>
      </c>
      <c r="AL25" s="125">
        <f t="shared" si="3"/>
        <v>0</v>
      </c>
      <c r="AM25" s="125">
        <v>17590035592</v>
      </c>
      <c r="AN25" s="125" t="s">
        <v>3284</v>
      </c>
      <c r="AP25" s="165">
        <f t="shared" si="2"/>
        <v>738000</v>
      </c>
      <c r="AQ25" s="166">
        <f>0.5%+0.02%+0.08%+0.03%</f>
        <v>0.0063</v>
      </c>
      <c r="AY25" s="125">
        <v>208000</v>
      </c>
      <c r="AZ25" s="125">
        <v>530000</v>
      </c>
      <c r="BM25" s="125" t="s">
        <v>260</v>
      </c>
    </row>
    <row r="26" s="125" customFormat="1" hidden="1" customHeight="1" spans="1:65">
      <c r="A26" s="125">
        <v>9</v>
      </c>
      <c r="B26" s="125"/>
      <c r="C26" s="168">
        <v>45713</v>
      </c>
      <c r="D26" s="125">
        <v>20250000823</v>
      </c>
      <c r="G26" s="1037" t="s">
        <v>5917</v>
      </c>
      <c r="H26" s="125" t="s">
        <v>5918</v>
      </c>
      <c r="I26" s="1037" t="s">
        <v>3445</v>
      </c>
      <c r="J26" s="163" t="s">
        <v>5919</v>
      </c>
      <c r="K26" s="164">
        <v>126.91</v>
      </c>
      <c r="L26" s="125">
        <v>126.91</v>
      </c>
      <c r="M26" s="125">
        <v>5800</v>
      </c>
      <c r="N26" s="125">
        <v>736078</v>
      </c>
      <c r="O26" s="125">
        <v>5800</v>
      </c>
      <c r="P26" s="125"/>
      <c r="Q26" s="125"/>
      <c r="R26" s="125"/>
      <c r="S26" s="125"/>
      <c r="T26" s="125"/>
      <c r="U26" s="125"/>
      <c r="V26" s="125" t="s">
        <v>277</v>
      </c>
      <c r="W26" s="125">
        <v>15000</v>
      </c>
      <c r="X26" s="125" t="s">
        <v>2940</v>
      </c>
      <c r="Y26" s="125">
        <f>205078+180000</f>
        <v>385078</v>
      </c>
      <c r="Z26" s="125" t="s">
        <v>3877</v>
      </c>
      <c r="AA26" s="125">
        <v>336000</v>
      </c>
      <c r="AB26" s="125" t="s">
        <v>794</v>
      </c>
      <c r="AI26" s="165">
        <f t="shared" si="0"/>
        <v>736078</v>
      </c>
      <c r="AL26" s="125">
        <f t="shared" si="3"/>
        <v>0</v>
      </c>
      <c r="AM26" s="125">
        <v>18999623109</v>
      </c>
      <c r="AN26" s="125" t="s">
        <v>3284</v>
      </c>
      <c r="AP26" s="165">
        <f t="shared" si="2"/>
        <v>736078</v>
      </c>
      <c r="AQ26" s="172">
        <f t="shared" ref="AQ26:AQ31" si="4">0.7%+0.03%+0.12%+0.03%</f>
        <v>0.0088</v>
      </c>
      <c r="AV26" s="125">
        <v>400078</v>
      </c>
      <c r="AW26" s="125">
        <v>336000</v>
      </c>
      <c r="BM26" s="125" t="s">
        <v>260</v>
      </c>
    </row>
    <row r="27" s="125" customFormat="1" ht="34" hidden="1" customHeight="1" spans="1:65">
      <c r="A27" s="125">
        <v>10</v>
      </c>
      <c r="B27" s="125"/>
      <c r="C27" s="168">
        <v>45735</v>
      </c>
      <c r="D27" s="125">
        <v>20250001384</v>
      </c>
      <c r="H27" s="125" t="s">
        <v>5920</v>
      </c>
      <c r="I27" s="1037" t="s">
        <v>5921</v>
      </c>
      <c r="J27" s="170" t="s">
        <v>5922</v>
      </c>
      <c r="K27" s="164">
        <v>126.5</v>
      </c>
      <c r="L27" s="125">
        <v>126.5</v>
      </c>
      <c r="M27" s="125">
        <v>5841.89</v>
      </c>
      <c r="N27" s="125">
        <v>739000</v>
      </c>
      <c r="O27" s="125">
        <v>5841.9</v>
      </c>
      <c r="P27" s="125"/>
      <c r="Q27" s="125"/>
      <c r="R27" s="125"/>
      <c r="S27" s="125"/>
      <c r="T27" s="125"/>
      <c r="U27" s="125"/>
      <c r="V27" s="125" t="s">
        <v>546</v>
      </c>
      <c r="W27" s="125">
        <f>20000</f>
        <v>20000</v>
      </c>
      <c r="X27" s="125" t="s">
        <v>3484</v>
      </c>
      <c r="Y27" s="125">
        <v>300000</v>
      </c>
      <c r="Z27" s="125" t="s">
        <v>794</v>
      </c>
      <c r="AA27" s="125">
        <v>419000</v>
      </c>
      <c r="AB27" s="125" t="s">
        <v>1091</v>
      </c>
      <c r="AI27" s="165">
        <f t="shared" si="0"/>
        <v>739000</v>
      </c>
      <c r="AL27" s="125">
        <f t="shared" si="3"/>
        <v>0</v>
      </c>
      <c r="AM27" s="125">
        <v>15199391601</v>
      </c>
      <c r="AN27" s="125" t="s">
        <v>3284</v>
      </c>
      <c r="AP27" s="165">
        <f t="shared" si="2"/>
        <v>739000</v>
      </c>
      <c r="AQ27" s="172">
        <f>0.5%+0.08%+0.03%</f>
        <v>0.0061</v>
      </c>
      <c r="AW27" s="125">
        <v>739000</v>
      </c>
      <c r="BM27" s="125" t="s">
        <v>260</v>
      </c>
    </row>
    <row r="28" s="125" customFormat="1" hidden="1" customHeight="1" spans="1:65">
      <c r="A28" s="125">
        <v>11</v>
      </c>
      <c r="B28" s="125"/>
      <c r="C28" s="168">
        <v>45567</v>
      </c>
      <c r="D28" s="125">
        <v>20240005637</v>
      </c>
      <c r="G28" s="1037" t="s">
        <v>5923</v>
      </c>
      <c r="H28" s="125" t="s">
        <v>5924</v>
      </c>
      <c r="I28" s="1037" t="s">
        <v>5925</v>
      </c>
      <c r="J28" s="163" t="s">
        <v>5926</v>
      </c>
      <c r="K28" s="164">
        <v>126.91</v>
      </c>
      <c r="L28" s="125">
        <v>126.91</v>
      </c>
      <c r="M28" s="125">
        <v>5862.3</v>
      </c>
      <c r="N28" s="125">
        <v>743985</v>
      </c>
      <c r="O28" s="125">
        <v>5998.69</v>
      </c>
      <c r="P28" s="125"/>
      <c r="T28" s="168"/>
      <c r="V28" s="125" t="s">
        <v>2160</v>
      </c>
      <c r="W28" s="125">
        <v>10000</v>
      </c>
      <c r="X28" s="168">
        <v>45560</v>
      </c>
      <c r="Y28" s="125">
        <v>119985</v>
      </c>
      <c r="Z28" s="168" t="s">
        <v>723</v>
      </c>
      <c r="AA28" s="125">
        <v>39000</v>
      </c>
      <c r="AB28" s="168" t="s">
        <v>3265</v>
      </c>
      <c r="AC28" s="125">
        <v>575000</v>
      </c>
      <c r="AD28" s="125" t="s">
        <v>790</v>
      </c>
      <c r="AI28" s="165">
        <f t="shared" si="0"/>
        <v>743985</v>
      </c>
      <c r="AL28" s="125">
        <f t="shared" ref="AL28:AL40" si="5">N28-AI28</f>
        <v>0</v>
      </c>
      <c r="AM28" s="125">
        <v>15899017992</v>
      </c>
      <c r="AN28" s="125" t="s">
        <v>5927</v>
      </c>
      <c r="AP28" s="165">
        <f t="shared" si="2"/>
        <v>743985</v>
      </c>
      <c r="AQ28" s="166">
        <f t="shared" si="4"/>
        <v>0.0088</v>
      </c>
      <c r="AT28" s="125">
        <v>743985</v>
      </c>
      <c r="BM28" s="125" t="s">
        <v>260</v>
      </c>
    </row>
    <row r="29" s="125" customFormat="1" hidden="1" customHeight="1" spans="1:65">
      <c r="A29" s="125">
        <v>12</v>
      </c>
      <c r="B29" s="125"/>
      <c r="C29" s="168">
        <v>45712</v>
      </c>
      <c r="D29" s="125">
        <v>20250000819</v>
      </c>
      <c r="G29" s="1037" t="s">
        <v>5928</v>
      </c>
      <c r="H29" s="125" t="s">
        <v>5929</v>
      </c>
      <c r="I29" s="125"/>
      <c r="J29" s="163" t="s">
        <v>5930</v>
      </c>
      <c r="K29" s="164">
        <v>126.5</v>
      </c>
      <c r="L29" s="125">
        <v>126.5</v>
      </c>
      <c r="M29" s="125">
        <v>5900</v>
      </c>
      <c r="N29" s="125">
        <v>746350</v>
      </c>
      <c r="O29" s="125">
        <v>5900</v>
      </c>
      <c r="P29" s="125"/>
      <c r="Q29" s="125"/>
      <c r="R29" s="125"/>
      <c r="S29" s="125"/>
      <c r="T29" s="168"/>
      <c r="U29" s="125"/>
      <c r="V29" s="125" t="s">
        <v>284</v>
      </c>
      <c r="W29" s="125">
        <v>206350</v>
      </c>
      <c r="X29" s="125" t="s">
        <v>373</v>
      </c>
      <c r="Y29" s="125">
        <v>540000</v>
      </c>
      <c r="Z29" s="168">
        <v>45992</v>
      </c>
      <c r="AI29" s="165">
        <f t="shared" si="0"/>
        <v>746350</v>
      </c>
      <c r="AL29" s="125">
        <f t="shared" si="5"/>
        <v>0</v>
      </c>
      <c r="AN29" s="125" t="s">
        <v>3284</v>
      </c>
      <c r="AP29" s="125">
        <f t="shared" si="2"/>
        <v>746350</v>
      </c>
      <c r="AQ29" s="172">
        <f>0.4%+0.03%+0.12%+0.03%</f>
        <v>0.0058</v>
      </c>
      <c r="BF29" s="125">
        <v>746350</v>
      </c>
      <c r="BM29" s="125" t="s">
        <v>260</v>
      </c>
    </row>
    <row r="30" s="125" customFormat="1" hidden="1" customHeight="1" spans="1:65">
      <c r="A30" s="125">
        <v>13</v>
      </c>
      <c r="B30" s="125"/>
      <c r="C30" s="168">
        <v>45591</v>
      </c>
      <c r="D30" s="125">
        <v>20240006297</v>
      </c>
      <c r="G30" s="1037" t="s">
        <v>5931</v>
      </c>
      <c r="H30" s="125" t="s">
        <v>5932</v>
      </c>
      <c r="J30" s="170" t="s">
        <v>5933</v>
      </c>
      <c r="K30" s="164">
        <v>126.91</v>
      </c>
      <c r="L30" s="125">
        <v>126.91</v>
      </c>
      <c r="M30" s="125">
        <v>5900</v>
      </c>
      <c r="N30" s="125">
        <v>748769</v>
      </c>
      <c r="O30" s="125">
        <v>6043.69</v>
      </c>
      <c r="P30" s="125"/>
      <c r="V30" s="125" t="s">
        <v>380</v>
      </c>
      <c r="W30" s="125">
        <v>20000</v>
      </c>
      <c r="X30" s="125" t="s">
        <v>5934</v>
      </c>
      <c r="Y30" s="125">
        <f>88769+10000</f>
        <v>98769</v>
      </c>
      <c r="Z30" s="125" t="s">
        <v>2138</v>
      </c>
      <c r="AA30" s="125">
        <v>630000</v>
      </c>
      <c r="AB30" s="125" t="s">
        <v>4578</v>
      </c>
      <c r="AI30" s="165">
        <f t="shared" si="0"/>
        <v>748769</v>
      </c>
      <c r="AL30" s="125">
        <f t="shared" si="5"/>
        <v>0</v>
      </c>
      <c r="AM30" s="125">
        <v>15299355759</v>
      </c>
      <c r="AN30" s="125" t="s">
        <v>3284</v>
      </c>
      <c r="AP30" s="165">
        <f t="shared" si="2"/>
        <v>748769</v>
      </c>
      <c r="AQ30" s="166">
        <f>0.7%+0.04%+0.12%+0.03%</f>
        <v>0.0089</v>
      </c>
      <c r="AS30" s="125">
        <v>118769</v>
      </c>
      <c r="AU30" s="125">
        <v>630000</v>
      </c>
      <c r="BM30" s="125" t="s">
        <v>260</v>
      </c>
    </row>
    <row r="31" s="125" customFormat="1" hidden="1" customHeight="1" spans="1:65">
      <c r="A31" s="125">
        <v>14</v>
      </c>
      <c r="B31" s="125"/>
      <c r="C31" s="168">
        <v>45738</v>
      </c>
      <c r="D31" s="125">
        <v>20250001518</v>
      </c>
      <c r="G31" s="1037" t="s">
        <v>5935</v>
      </c>
      <c r="H31" s="125" t="s">
        <v>5936</v>
      </c>
      <c r="I31" s="125"/>
      <c r="J31" s="170" t="s">
        <v>5937</v>
      </c>
      <c r="K31" s="164">
        <v>126.5</v>
      </c>
      <c r="L31" s="125">
        <v>126.5</v>
      </c>
      <c r="M31" s="125">
        <v>5900</v>
      </c>
      <c r="N31" s="125">
        <v>746350</v>
      </c>
      <c r="O31" s="125">
        <v>5900</v>
      </c>
      <c r="P31" s="125"/>
      <c r="Q31" s="125"/>
      <c r="R31" s="125"/>
      <c r="S31" s="125"/>
      <c r="T31" s="168"/>
      <c r="U31" s="125"/>
      <c r="V31" s="125" t="s">
        <v>277</v>
      </c>
      <c r="W31" s="125">
        <f>20000+20000</f>
        <v>40000</v>
      </c>
      <c r="X31" s="125" t="s">
        <v>4062</v>
      </c>
      <c r="Y31" s="125">
        <v>406350</v>
      </c>
      <c r="Z31" s="125" t="s">
        <v>5938</v>
      </c>
      <c r="AA31" s="125">
        <v>22500</v>
      </c>
      <c r="AB31" s="168">
        <v>45867</v>
      </c>
      <c r="AC31" s="125">
        <v>277500</v>
      </c>
      <c r="AD31" s="125" t="s">
        <v>5939</v>
      </c>
      <c r="AI31" s="165">
        <f t="shared" si="0"/>
        <v>746350</v>
      </c>
      <c r="AL31" s="125">
        <f t="shared" si="5"/>
        <v>0</v>
      </c>
      <c r="AM31" s="125">
        <v>15199392863</v>
      </c>
      <c r="AN31" s="125" t="s">
        <v>3284</v>
      </c>
      <c r="AP31" s="165">
        <f t="shared" ref="AP31:AP62" si="6">SUM(AR31:BJ31)</f>
        <v>746350</v>
      </c>
      <c r="AQ31" s="172">
        <f t="shared" si="4"/>
        <v>0.0088</v>
      </c>
      <c r="BA31" s="125">
        <v>746350</v>
      </c>
      <c r="BM31" s="125" t="s">
        <v>260</v>
      </c>
    </row>
    <row r="32" s="125" customFormat="1" hidden="1" customHeight="1" spans="1:65">
      <c r="A32" s="125">
        <v>15</v>
      </c>
      <c r="B32" s="125"/>
      <c r="C32" s="168">
        <v>45705</v>
      </c>
      <c r="D32" s="125">
        <v>20250000685</v>
      </c>
      <c r="G32" s="1037" t="s">
        <v>5940</v>
      </c>
      <c r="H32" s="125" t="s">
        <v>5941</v>
      </c>
      <c r="I32" s="1037" t="s">
        <v>2599</v>
      </c>
      <c r="J32" s="170" t="s">
        <v>5942</v>
      </c>
      <c r="K32" s="164">
        <v>126.91</v>
      </c>
      <c r="L32" s="125">
        <v>126.91</v>
      </c>
      <c r="M32" s="125">
        <v>5725</v>
      </c>
      <c r="N32" s="125">
        <v>726560</v>
      </c>
      <c r="O32" s="125">
        <v>5725</v>
      </c>
      <c r="P32" s="125"/>
      <c r="Q32" s="125"/>
      <c r="R32" s="125"/>
      <c r="S32" s="125"/>
      <c r="T32" s="125"/>
      <c r="U32" s="125"/>
      <c r="V32" s="125" t="s">
        <v>257</v>
      </c>
      <c r="W32" s="125">
        <v>20000</v>
      </c>
      <c r="X32" s="125" t="s">
        <v>5804</v>
      </c>
      <c r="Y32" s="125">
        <v>236560</v>
      </c>
      <c r="Z32" s="125" t="s">
        <v>3419</v>
      </c>
      <c r="AA32" s="125">
        <v>50000</v>
      </c>
      <c r="AB32" s="125" t="s">
        <v>5943</v>
      </c>
      <c r="AC32" s="125">
        <v>420000</v>
      </c>
      <c r="AD32" s="125" t="s">
        <v>2676</v>
      </c>
      <c r="AI32" s="165">
        <f t="shared" si="0"/>
        <v>726560</v>
      </c>
      <c r="AL32" s="125">
        <f t="shared" si="5"/>
        <v>0</v>
      </c>
      <c r="AM32" s="125">
        <v>15099468017</v>
      </c>
      <c r="AN32" s="125" t="s">
        <v>3362</v>
      </c>
      <c r="AP32" s="165">
        <f t="shared" si="6"/>
        <v>726560</v>
      </c>
      <c r="AQ32" s="172">
        <f>0.7%+0.04%+0.12%+0.03%</f>
        <v>0.0089</v>
      </c>
      <c r="AV32" s="125">
        <v>306560</v>
      </c>
      <c r="AW32" s="125">
        <v>420000</v>
      </c>
      <c r="BM32" s="125" t="s">
        <v>260</v>
      </c>
    </row>
    <row r="33" s="125" customFormat="1" hidden="1" customHeight="1" spans="1:65">
      <c r="A33" s="125">
        <v>16</v>
      </c>
      <c r="B33" s="125"/>
      <c r="C33" s="168">
        <v>45931</v>
      </c>
      <c r="D33" s="125">
        <v>20250004882</v>
      </c>
      <c r="G33" s="125" t="s">
        <v>5944</v>
      </c>
      <c r="H33" s="125" t="s">
        <v>5945</v>
      </c>
      <c r="I33" s="1037" t="s">
        <v>5946</v>
      </c>
      <c r="J33" s="170" t="s">
        <v>5947</v>
      </c>
      <c r="K33" s="164">
        <v>126.5</v>
      </c>
      <c r="L33" s="125">
        <v>126.5</v>
      </c>
      <c r="M33" s="125">
        <v>5459</v>
      </c>
      <c r="N33" s="125">
        <v>690563</v>
      </c>
      <c r="O33" s="125">
        <f>5709.69-300</f>
        <v>5409.69</v>
      </c>
      <c r="T33" s="168"/>
      <c r="U33" s="125"/>
      <c r="V33" s="125" t="s">
        <v>5948</v>
      </c>
      <c r="W33" s="125">
        <v>5563</v>
      </c>
      <c r="X33" s="168">
        <v>45918</v>
      </c>
      <c r="Y33" s="125">
        <v>545000</v>
      </c>
      <c r="Z33" s="168">
        <v>45992</v>
      </c>
      <c r="AA33" s="125">
        <v>140000</v>
      </c>
      <c r="AB33" s="168">
        <v>46016</v>
      </c>
      <c r="AC33" s="125"/>
      <c r="AD33" s="125"/>
      <c r="AE33" s="125"/>
      <c r="AF33" s="125"/>
      <c r="AG33" s="125"/>
      <c r="AH33" s="125"/>
      <c r="AI33" s="165">
        <f t="shared" si="0"/>
        <v>690563</v>
      </c>
      <c r="AL33" s="125">
        <f t="shared" si="5"/>
        <v>0</v>
      </c>
      <c r="AN33" s="173" t="s">
        <v>5949</v>
      </c>
      <c r="AO33" s="125"/>
      <c r="AP33" s="125">
        <f t="shared" si="6"/>
        <v>690563</v>
      </c>
      <c r="AQ33" s="169">
        <f>0.7%+0.03%+0.08%+0.03%</f>
        <v>0.0084</v>
      </c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F33" s="125">
        <v>690563</v>
      </c>
      <c r="BM33" s="125" t="s">
        <v>3258</v>
      </c>
    </row>
    <row r="34" s="125" customFormat="1" hidden="1" customHeight="1" spans="1:65">
      <c r="A34" s="125">
        <v>17</v>
      </c>
      <c r="B34" s="125"/>
      <c r="C34" s="168">
        <v>45746</v>
      </c>
      <c r="D34" s="125">
        <v>20250001732</v>
      </c>
      <c r="G34" s="1037" t="s">
        <v>5950</v>
      </c>
      <c r="H34" s="125" t="s">
        <v>5951</v>
      </c>
      <c r="I34" s="1037" t="s">
        <v>5952</v>
      </c>
      <c r="J34" s="163" t="s">
        <v>5953</v>
      </c>
      <c r="K34" s="164">
        <v>126.91</v>
      </c>
      <c r="L34" s="125">
        <v>126.91</v>
      </c>
      <c r="M34" s="125">
        <v>6004.82</v>
      </c>
      <c r="N34" s="125">
        <v>762072</v>
      </c>
      <c r="O34" s="125">
        <v>6004.82</v>
      </c>
      <c r="P34" s="125"/>
      <c r="Q34" s="125"/>
      <c r="R34" s="125"/>
      <c r="S34" s="125"/>
      <c r="T34" s="125"/>
      <c r="U34" s="125"/>
      <c r="V34" s="125"/>
      <c r="W34" s="125">
        <v>10000</v>
      </c>
      <c r="X34" s="125" t="s">
        <v>939</v>
      </c>
      <c r="Y34" s="125">
        <v>382072</v>
      </c>
      <c r="Z34" s="125" t="s">
        <v>3669</v>
      </c>
      <c r="AA34" s="125">
        <v>70000</v>
      </c>
      <c r="AB34" s="125" t="s">
        <v>1028</v>
      </c>
      <c r="AC34" s="125">
        <v>300000</v>
      </c>
      <c r="AD34" s="125" t="s">
        <v>3035</v>
      </c>
      <c r="AI34" s="165">
        <f t="shared" si="0"/>
        <v>762072</v>
      </c>
      <c r="AL34" s="125">
        <f t="shared" si="5"/>
        <v>0</v>
      </c>
      <c r="AM34" s="125">
        <v>15234919765</v>
      </c>
      <c r="AN34" s="125" t="s">
        <v>3284</v>
      </c>
      <c r="AP34" s="165">
        <f t="shared" si="6"/>
        <v>762072</v>
      </c>
      <c r="AQ34" s="166">
        <f>0.7%+0.08%+0.03%</f>
        <v>0.0081</v>
      </c>
      <c r="AX34" s="125">
        <v>462072</v>
      </c>
      <c r="AY34" s="125">
        <v>300000</v>
      </c>
      <c r="BM34" s="125" t="s">
        <v>260</v>
      </c>
    </row>
    <row r="35" s="125" customFormat="1" hidden="1" customHeight="1" spans="1:65">
      <c r="A35" s="125">
        <v>18</v>
      </c>
      <c r="B35" s="125"/>
      <c r="C35" s="168">
        <v>45885</v>
      </c>
      <c r="D35" s="125">
        <v>20250004248</v>
      </c>
      <c r="G35" s="1037" t="s">
        <v>5954</v>
      </c>
      <c r="H35" s="125" t="s">
        <v>5955</v>
      </c>
      <c r="I35" s="125"/>
      <c r="J35" s="170" t="s">
        <v>5956</v>
      </c>
      <c r="K35" s="164">
        <v>126.5</v>
      </c>
      <c r="L35" s="125">
        <v>126.5</v>
      </c>
      <c r="M35" s="125">
        <v>5770.75</v>
      </c>
      <c r="N35" s="125">
        <v>730000</v>
      </c>
      <c r="O35" s="125">
        <v>5770.75</v>
      </c>
      <c r="P35" s="125"/>
      <c r="Q35" s="125"/>
      <c r="R35" s="125"/>
      <c r="S35" s="125"/>
      <c r="T35" s="168"/>
      <c r="U35" s="125"/>
      <c r="V35" s="125" t="s">
        <v>690</v>
      </c>
      <c r="W35" s="125">
        <v>122000</v>
      </c>
      <c r="X35" s="168">
        <v>45885</v>
      </c>
      <c r="Y35" s="125">
        <f>24000+584000</f>
        <v>608000</v>
      </c>
      <c r="Z35" s="168" t="s">
        <v>5957</v>
      </c>
      <c r="AI35" s="165">
        <f t="shared" si="0"/>
        <v>730000</v>
      </c>
      <c r="AL35" s="125">
        <f t="shared" si="5"/>
        <v>0</v>
      </c>
      <c r="AM35" s="125">
        <v>19354508165</v>
      </c>
      <c r="AN35" s="125" t="s">
        <v>5958</v>
      </c>
      <c r="AP35" s="125">
        <f t="shared" si="6"/>
        <v>730000</v>
      </c>
      <c r="AQ35" s="169">
        <f>0.7%+0.08%+0.03%</f>
        <v>0.0081</v>
      </c>
      <c r="BC35" s="125">
        <v>730000</v>
      </c>
      <c r="BM35" s="125" t="s">
        <v>2707</v>
      </c>
    </row>
    <row r="36" s="125" customFormat="1" hidden="1" customHeight="1" spans="1:65">
      <c r="A36" s="125">
        <v>19</v>
      </c>
      <c r="B36" s="125"/>
      <c r="C36" s="168">
        <v>45819</v>
      </c>
      <c r="D36" s="125">
        <v>20250003061</v>
      </c>
      <c r="G36" s="1037" t="s">
        <v>5959</v>
      </c>
      <c r="H36" s="125" t="s">
        <v>5960</v>
      </c>
      <c r="I36" s="1037" t="s">
        <v>5961</v>
      </c>
      <c r="J36" s="163" t="s">
        <v>5962</v>
      </c>
      <c r="K36" s="164">
        <v>126.91</v>
      </c>
      <c r="L36" s="125">
        <v>126.91</v>
      </c>
      <c r="M36" s="125">
        <v>6066</v>
      </c>
      <c r="N36" s="125">
        <v>769836</v>
      </c>
      <c r="O36" s="125">
        <v>6066</v>
      </c>
      <c r="P36" s="125"/>
      <c r="Q36" s="125"/>
      <c r="R36" s="125"/>
      <c r="S36" s="125"/>
      <c r="T36" s="168"/>
      <c r="U36" s="125"/>
      <c r="V36" s="125" t="s">
        <v>267</v>
      </c>
      <c r="W36" s="125">
        <v>20000</v>
      </c>
      <c r="X36" s="125" t="s">
        <v>4392</v>
      </c>
      <c r="Y36" s="125">
        <f>119836+50000</f>
        <v>169836</v>
      </c>
      <c r="Z36" s="125" t="s">
        <v>3508</v>
      </c>
      <c r="AA36" s="125">
        <v>20000</v>
      </c>
      <c r="AB36" s="125" t="s">
        <v>3275</v>
      </c>
      <c r="AC36" s="125">
        <v>560000</v>
      </c>
      <c r="AD36" s="168">
        <v>45849</v>
      </c>
      <c r="AI36" s="165">
        <f t="shared" si="0"/>
        <v>769836</v>
      </c>
      <c r="AL36" s="125">
        <f t="shared" si="5"/>
        <v>0</v>
      </c>
      <c r="AM36" s="125">
        <v>19999170419</v>
      </c>
      <c r="AN36" s="125" t="s">
        <v>3284</v>
      </c>
      <c r="AP36" s="165">
        <f t="shared" si="6"/>
        <v>769836</v>
      </c>
      <c r="AQ36" s="166">
        <f>0.4%+0.08%+0.03%</f>
        <v>0.0051</v>
      </c>
      <c r="AZ36" s="125">
        <v>209836</v>
      </c>
      <c r="BA36" s="125">
        <v>560000</v>
      </c>
      <c r="BM36" s="125" t="s">
        <v>260</v>
      </c>
    </row>
    <row r="37" s="125" customFormat="1" hidden="1" customHeight="1" spans="1:65">
      <c r="A37" s="125">
        <v>20</v>
      </c>
      <c r="B37" s="125"/>
      <c r="C37" s="168">
        <v>45814</v>
      </c>
      <c r="D37" s="125">
        <v>20250003057</v>
      </c>
      <c r="G37" s="1037" t="s">
        <v>5963</v>
      </c>
      <c r="H37" s="125" t="s">
        <v>5964</v>
      </c>
      <c r="I37" s="1037" t="s">
        <v>5965</v>
      </c>
      <c r="J37" s="170" t="s">
        <v>5966</v>
      </c>
      <c r="K37" s="164">
        <v>126.5</v>
      </c>
      <c r="L37" s="125">
        <v>126.5</v>
      </c>
      <c r="M37" s="125">
        <v>5750</v>
      </c>
      <c r="N37" s="125">
        <v>727375</v>
      </c>
      <c r="O37" s="125">
        <v>5750</v>
      </c>
      <c r="P37" s="125"/>
      <c r="Q37" s="125"/>
      <c r="R37" s="125"/>
      <c r="S37" s="125"/>
      <c r="T37" s="168"/>
      <c r="U37" s="125"/>
      <c r="V37" s="125" t="s">
        <v>257</v>
      </c>
      <c r="W37" s="125">
        <v>20000</v>
      </c>
      <c r="X37" s="125" t="s">
        <v>4392</v>
      </c>
      <c r="Y37" s="125">
        <v>76375</v>
      </c>
      <c r="Z37" s="125" t="s">
        <v>5967</v>
      </c>
      <c r="AA37" s="125">
        <v>50000</v>
      </c>
      <c r="AB37" s="125" t="s">
        <v>3543</v>
      </c>
      <c r="AC37" s="125">
        <v>581000</v>
      </c>
      <c r="AD37" s="168">
        <v>45863</v>
      </c>
      <c r="AI37" s="165">
        <f t="shared" ref="AI37:AI68" si="7">W37+Y37+AA37+AC37+AE37+AG37</f>
        <v>727375</v>
      </c>
      <c r="AL37" s="125">
        <f t="shared" si="5"/>
        <v>0</v>
      </c>
      <c r="AM37" s="125">
        <v>19609969426</v>
      </c>
      <c r="AN37" s="125" t="s">
        <v>3362</v>
      </c>
      <c r="AP37" s="165">
        <f t="shared" si="6"/>
        <v>727375</v>
      </c>
      <c r="AQ37" s="169">
        <f>0.7%+0.05%+0.08%+0.03%</f>
        <v>0.0086</v>
      </c>
      <c r="AZ37" s="125">
        <v>146375</v>
      </c>
      <c r="BA37" s="125">
        <v>581000</v>
      </c>
      <c r="BM37" s="125" t="s">
        <v>260</v>
      </c>
    </row>
    <row r="38" s="107" customFormat="1" hidden="1" customHeight="1" spans="1:65">
      <c r="A38" s="107">
        <v>21</v>
      </c>
      <c r="B38" s="107"/>
      <c r="C38" s="107"/>
      <c r="D38" s="107"/>
      <c r="J38" s="161" t="s">
        <v>5968</v>
      </c>
      <c r="K38" s="162">
        <v>126.91</v>
      </c>
      <c r="L38" s="107"/>
      <c r="M38" s="107"/>
      <c r="N38" s="107"/>
      <c r="O38" s="107">
        <v>7139.31</v>
      </c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I38" s="156">
        <f t="shared" si="7"/>
        <v>0</v>
      </c>
      <c r="AL38" s="125">
        <f t="shared" si="5"/>
        <v>0</v>
      </c>
      <c r="AP38" s="101">
        <f t="shared" si="6"/>
        <v>0</v>
      </c>
    </row>
    <row r="39" s="107" customFormat="1" hidden="1" customHeight="1" spans="1:65">
      <c r="A39" s="107">
        <v>22</v>
      </c>
      <c r="B39" s="107"/>
      <c r="C39" s="107"/>
      <c r="D39" s="107"/>
      <c r="J39" s="167" t="s">
        <v>5969</v>
      </c>
      <c r="K39" s="162">
        <v>126.5</v>
      </c>
      <c r="L39" s="107"/>
      <c r="M39" s="107"/>
      <c r="N39" s="107"/>
      <c r="O39" s="107">
        <v>7129.31</v>
      </c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I39" s="156">
        <f t="shared" si="7"/>
        <v>0</v>
      </c>
      <c r="AL39" s="125">
        <f t="shared" si="5"/>
        <v>0</v>
      </c>
      <c r="AP39" s="101">
        <f t="shared" si="6"/>
        <v>0</v>
      </c>
    </row>
    <row r="40" s="125" customFormat="1" hidden="1" customHeight="1" spans="1:65">
      <c r="A40" s="125">
        <v>23</v>
      </c>
      <c r="B40" s="125"/>
      <c r="C40" s="125"/>
      <c r="D40" s="125"/>
      <c r="H40" s="125" t="s">
        <v>5970</v>
      </c>
      <c r="I40" s="125"/>
      <c r="J40" s="163" t="s">
        <v>5971</v>
      </c>
      <c r="K40" s="164">
        <v>128.65</v>
      </c>
      <c r="L40" s="125"/>
      <c r="M40" s="125"/>
      <c r="N40" s="125"/>
      <c r="O40" s="125">
        <v>7705.31</v>
      </c>
      <c r="P40" s="125"/>
      <c r="Q40" s="125"/>
      <c r="R40" s="125"/>
      <c r="S40" s="125"/>
      <c r="T40" s="168"/>
      <c r="U40" s="125"/>
      <c r="V40" s="125"/>
      <c r="W40" s="125">
        <v>115350</v>
      </c>
      <c r="X40" s="168">
        <v>45924</v>
      </c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65">
        <f t="shared" si="7"/>
        <v>115350</v>
      </c>
      <c r="AL40" s="125">
        <f t="shared" si="5"/>
        <v>-115350</v>
      </c>
      <c r="AP40" s="125">
        <f t="shared" si="6"/>
        <v>0</v>
      </c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</row>
    <row r="41" s="107" customFormat="1" hidden="1" customHeight="1" spans="1:65">
      <c r="A41" s="107">
        <v>24</v>
      </c>
      <c r="B41" s="107"/>
      <c r="C41" s="107"/>
      <c r="D41" s="107"/>
      <c r="J41" s="167" t="s">
        <v>5972</v>
      </c>
      <c r="K41" s="162">
        <v>109.7</v>
      </c>
      <c r="L41" s="107"/>
      <c r="M41" s="107"/>
      <c r="N41" s="107"/>
      <c r="O41" s="107">
        <v>8525.31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I41" s="156">
        <f t="shared" si="7"/>
        <v>0</v>
      </c>
      <c r="AP41" s="101">
        <f t="shared" si="6"/>
        <v>0</v>
      </c>
    </row>
    <row r="42" s="107" customFormat="1" hidden="1" customHeight="1" spans="1:65">
      <c r="A42" s="107">
        <v>25</v>
      </c>
      <c r="B42" s="107"/>
      <c r="C42" s="107"/>
      <c r="D42" s="107"/>
      <c r="J42" s="161" t="s">
        <v>5973</v>
      </c>
      <c r="K42" s="162">
        <v>126.5</v>
      </c>
      <c r="L42" s="107"/>
      <c r="M42" s="107"/>
      <c r="N42" s="107"/>
      <c r="O42" s="107">
        <v>5765.41</v>
      </c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I42" s="156">
        <f t="shared" si="7"/>
        <v>0</v>
      </c>
      <c r="AP42" s="101">
        <f t="shared" si="6"/>
        <v>0</v>
      </c>
    </row>
    <row r="43" s="107" customFormat="1" hidden="1" customHeight="1" spans="1:65">
      <c r="A43" s="107">
        <v>26</v>
      </c>
      <c r="B43" s="107"/>
      <c r="C43" s="107"/>
      <c r="D43" s="107"/>
      <c r="J43" s="167" t="s">
        <v>5974</v>
      </c>
      <c r="K43" s="162">
        <v>126.5</v>
      </c>
      <c r="L43" s="107"/>
      <c r="M43" s="107"/>
      <c r="N43" s="107"/>
      <c r="O43" s="107">
        <v>5757.41</v>
      </c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I43" s="156">
        <f t="shared" si="7"/>
        <v>0</v>
      </c>
      <c r="AP43" s="101">
        <f t="shared" si="6"/>
        <v>0</v>
      </c>
    </row>
    <row r="44" s="125" customFormat="1" hidden="1" customHeight="1" spans="1:65">
      <c r="A44" s="125">
        <v>27</v>
      </c>
      <c r="B44" s="125"/>
      <c r="C44" s="168">
        <v>45861</v>
      </c>
      <c r="D44" s="125">
        <v>20250003889</v>
      </c>
      <c r="G44" s="1037" t="s">
        <v>5975</v>
      </c>
      <c r="H44" s="125" t="s">
        <v>5976</v>
      </c>
      <c r="I44" s="125"/>
      <c r="J44" s="163" t="s">
        <v>5977</v>
      </c>
      <c r="K44" s="164">
        <v>126.5</v>
      </c>
      <c r="L44" s="125">
        <v>126.5</v>
      </c>
      <c r="M44" s="125">
        <v>5533.596</v>
      </c>
      <c r="N44" s="125">
        <v>700000</v>
      </c>
      <c r="O44" s="125">
        <v>5533.596</v>
      </c>
      <c r="P44" s="125"/>
      <c r="Q44" s="125"/>
      <c r="R44" s="125"/>
      <c r="S44" s="125"/>
      <c r="T44" s="168"/>
      <c r="U44" s="125"/>
      <c r="V44" s="125" t="s">
        <v>257</v>
      </c>
      <c r="W44" s="125">
        <v>20000</v>
      </c>
      <c r="X44" s="168" t="s">
        <v>5978</v>
      </c>
      <c r="Y44" s="125">
        <v>480000</v>
      </c>
      <c r="Z44" s="168" t="s">
        <v>5979</v>
      </c>
      <c r="AA44" s="125">
        <v>200000</v>
      </c>
      <c r="AB44" s="168">
        <v>45961</v>
      </c>
      <c r="AI44" s="165">
        <f t="shared" si="7"/>
        <v>700000</v>
      </c>
      <c r="AL44" s="125">
        <f>N44-AI44</f>
        <v>0</v>
      </c>
      <c r="AM44" s="125">
        <v>18196446732</v>
      </c>
      <c r="AN44" s="125" t="s">
        <v>5958</v>
      </c>
      <c r="AP44" s="165">
        <f t="shared" si="6"/>
        <v>700000</v>
      </c>
      <c r="AQ44" s="166">
        <f>0.7%+0.03%+0.08%+0.03%</f>
        <v>0.0084</v>
      </c>
      <c r="BA44" s="125">
        <v>500000</v>
      </c>
      <c r="BD44" s="125">
        <v>200000</v>
      </c>
      <c r="BM44" s="125" t="s">
        <v>2707</v>
      </c>
    </row>
    <row r="45" s="125" customFormat="1" hidden="1" customHeight="1" spans="1:65">
      <c r="A45" s="125">
        <v>28</v>
      </c>
      <c r="B45" s="125"/>
      <c r="C45" s="168">
        <v>45866</v>
      </c>
      <c r="D45" s="125">
        <v>20250003972</v>
      </c>
      <c r="G45" s="1037" t="s">
        <v>5980</v>
      </c>
      <c r="H45" s="125" t="s">
        <v>5981</v>
      </c>
      <c r="I45" s="125"/>
      <c r="J45" s="163" t="s">
        <v>5982</v>
      </c>
      <c r="K45" s="164">
        <v>126.5</v>
      </c>
      <c r="L45" s="125">
        <v>126.5</v>
      </c>
      <c r="M45" s="174">
        <v>5848.92</v>
      </c>
      <c r="N45" s="125">
        <v>739888</v>
      </c>
      <c r="O45" s="125">
        <v>5807.69</v>
      </c>
      <c r="P45" s="125"/>
      <c r="Q45" s="125"/>
      <c r="R45" s="125"/>
      <c r="S45" s="125"/>
      <c r="T45" s="168"/>
      <c r="U45" s="125"/>
      <c r="V45" s="125" t="s">
        <v>370</v>
      </c>
      <c r="W45" s="125">
        <v>4888</v>
      </c>
      <c r="X45" s="168" t="s">
        <v>5983</v>
      </c>
      <c r="Y45" s="125">
        <v>160000</v>
      </c>
      <c r="Z45" s="168" t="s">
        <v>5984</v>
      </c>
      <c r="AA45" s="125">
        <v>575000</v>
      </c>
      <c r="AB45" s="168">
        <v>45923</v>
      </c>
      <c r="AI45" s="165">
        <f t="shared" si="7"/>
        <v>739888</v>
      </c>
      <c r="AL45" s="125">
        <f>N45-AI45</f>
        <v>0</v>
      </c>
      <c r="AM45" s="125">
        <v>15899013701</v>
      </c>
      <c r="AN45" s="125" t="s">
        <v>5985</v>
      </c>
      <c r="AP45" s="125">
        <f t="shared" si="6"/>
        <v>739888</v>
      </c>
      <c r="AQ45" s="166">
        <f>0.7%+0.03%+0.08%+0.03%</f>
        <v>0.0084</v>
      </c>
      <c r="BB45" s="125">
        <v>164888</v>
      </c>
      <c r="BC45" s="125">
        <v>575000</v>
      </c>
      <c r="BM45" s="125" t="s">
        <v>2707</v>
      </c>
    </row>
    <row r="46" s="125" customFormat="1" hidden="1" customHeight="1" spans="1:65">
      <c r="A46" s="125">
        <v>29</v>
      </c>
      <c r="B46" s="125"/>
      <c r="C46" s="168">
        <v>45870</v>
      </c>
      <c r="D46" s="125">
        <v>20250004054</v>
      </c>
      <c r="G46" s="1037" t="s">
        <v>5986</v>
      </c>
      <c r="H46" s="125" t="s">
        <v>5987</v>
      </c>
      <c r="I46" s="1037" t="s">
        <v>5988</v>
      </c>
      <c r="J46" s="170" t="s">
        <v>5989</v>
      </c>
      <c r="K46" s="164">
        <v>126.5</v>
      </c>
      <c r="L46" s="125">
        <v>126.5</v>
      </c>
      <c r="M46" s="125">
        <v>5744.66</v>
      </c>
      <c r="N46" s="125">
        <v>726700</v>
      </c>
      <c r="O46" s="125">
        <v>5744.66</v>
      </c>
      <c r="P46" s="125"/>
      <c r="Q46" s="125"/>
      <c r="R46" s="125"/>
      <c r="S46" s="125"/>
      <c r="T46" s="168"/>
      <c r="U46" s="125"/>
      <c r="V46" s="125" t="s">
        <v>380</v>
      </c>
      <c r="W46" s="125">
        <v>20000</v>
      </c>
      <c r="X46" s="168" t="s">
        <v>5990</v>
      </c>
      <c r="Y46" s="125">
        <v>6700</v>
      </c>
      <c r="Z46" s="168" t="s">
        <v>5991</v>
      </c>
      <c r="AA46" s="125">
        <v>380000</v>
      </c>
      <c r="AB46" s="168">
        <v>45967</v>
      </c>
      <c r="AI46" s="165">
        <f t="shared" si="7"/>
        <v>406700</v>
      </c>
      <c r="AL46" s="125">
        <f>N46-AI46</f>
        <v>320000</v>
      </c>
      <c r="AM46" s="125">
        <v>15276291162</v>
      </c>
      <c r="AN46" s="125" t="s">
        <v>5905</v>
      </c>
      <c r="AP46" s="125">
        <f t="shared" si="6"/>
        <v>406700</v>
      </c>
      <c r="AQ46" s="166">
        <f>0.4%+0.02%+0.08%+0.03%</f>
        <v>0.0053</v>
      </c>
      <c r="BE46" s="125">
        <v>406700</v>
      </c>
      <c r="BM46" s="125" t="s">
        <v>2707</v>
      </c>
    </row>
    <row r="47" s="125" customFormat="1" hidden="1" customHeight="1" spans="1:65">
      <c r="A47" s="125">
        <v>30</v>
      </c>
      <c r="B47" s="125"/>
      <c r="C47" s="168">
        <v>46042</v>
      </c>
      <c r="D47" s="125">
        <v>20260000306</v>
      </c>
      <c r="G47" s="1037" t="s">
        <v>5992</v>
      </c>
      <c r="H47" s="125" t="s">
        <v>5993</v>
      </c>
      <c r="I47" s="1037" t="s">
        <v>5994</v>
      </c>
      <c r="J47" s="170" t="s">
        <v>5995</v>
      </c>
      <c r="K47" s="164">
        <v>126.5</v>
      </c>
      <c r="L47" s="125">
        <v>126.5</v>
      </c>
      <c r="M47" s="125">
        <v>5200</v>
      </c>
      <c r="N47" s="125">
        <v>657800</v>
      </c>
      <c r="O47" s="125">
        <f>5487.69-300</f>
        <v>5187.69</v>
      </c>
      <c r="T47" s="168"/>
      <c r="U47" s="125"/>
      <c r="V47" s="125" t="s">
        <v>571</v>
      </c>
      <c r="W47" s="125">
        <v>20000</v>
      </c>
      <c r="X47" s="168">
        <v>45999</v>
      </c>
      <c r="Y47" s="125">
        <v>500000</v>
      </c>
      <c r="Z47" s="168">
        <v>46040</v>
      </c>
      <c r="AA47" s="125">
        <v>137800</v>
      </c>
      <c r="AB47" s="168">
        <v>46042</v>
      </c>
      <c r="AI47" s="165">
        <f t="shared" si="7"/>
        <v>657800</v>
      </c>
      <c r="AL47" s="125">
        <f>N47-AI47</f>
        <v>0</v>
      </c>
      <c r="AN47" s="125" t="s">
        <v>3362</v>
      </c>
      <c r="AP47" s="125">
        <f t="shared" si="6"/>
        <v>657800</v>
      </c>
      <c r="AQ47" s="166">
        <f>0.4%+0.02%+0.08%+0.03%</f>
        <v>0.0053</v>
      </c>
      <c r="BG47" s="125">
        <v>657800</v>
      </c>
      <c r="BM47" s="125" t="s">
        <v>260</v>
      </c>
    </row>
    <row r="48" s="125" customFormat="1" hidden="1" customHeight="1" spans="1:65">
      <c r="A48" s="125">
        <v>31</v>
      </c>
      <c r="B48" s="125"/>
      <c r="C48" s="168">
        <v>45793</v>
      </c>
      <c r="D48" s="125">
        <v>20250002764</v>
      </c>
      <c r="G48" s="1037" t="s">
        <v>5996</v>
      </c>
      <c r="H48" s="125" t="s">
        <v>5997</v>
      </c>
      <c r="I48" s="1037" t="s">
        <v>5998</v>
      </c>
      <c r="J48" s="170" t="s">
        <v>5999</v>
      </c>
      <c r="K48" s="164">
        <v>126.5</v>
      </c>
      <c r="L48" s="125">
        <v>126.5</v>
      </c>
      <c r="M48" s="125">
        <v>5897.23</v>
      </c>
      <c r="N48" s="125">
        <v>746000</v>
      </c>
      <c r="O48" s="125">
        <v>5897.23</v>
      </c>
      <c r="P48" s="125"/>
      <c r="Q48" s="125"/>
      <c r="R48" s="125"/>
      <c r="S48" s="125"/>
      <c r="T48" s="168"/>
      <c r="U48" s="125"/>
      <c r="V48" s="125"/>
      <c r="W48" s="125">
        <v>20000</v>
      </c>
      <c r="X48" s="125" t="s">
        <v>6000</v>
      </c>
      <c r="Y48" s="125">
        <v>316000</v>
      </c>
      <c r="Z48" s="125" t="s">
        <v>2112</v>
      </c>
      <c r="AA48" s="125">
        <v>40000</v>
      </c>
      <c r="AB48" s="125" t="s">
        <v>4423</v>
      </c>
      <c r="AC48" s="125">
        <v>370000</v>
      </c>
      <c r="AD48" s="168">
        <v>45862</v>
      </c>
      <c r="AI48" s="165">
        <f t="shared" si="7"/>
        <v>746000</v>
      </c>
      <c r="AL48" s="125">
        <f>N48-AI48</f>
        <v>0</v>
      </c>
      <c r="AM48" s="125">
        <v>18139087923</v>
      </c>
      <c r="AN48" s="125" t="s">
        <v>6001</v>
      </c>
      <c r="AP48" s="165">
        <f t="shared" si="6"/>
        <v>746000</v>
      </c>
      <c r="AQ48" s="166">
        <f>0.4%+0.02%+0.08%+0.03%</f>
        <v>0.0053</v>
      </c>
      <c r="AY48" s="125">
        <v>376000</v>
      </c>
      <c r="BA48" s="125">
        <v>370000</v>
      </c>
      <c r="BM48" s="125" t="s">
        <v>260</v>
      </c>
    </row>
    <row r="49" s="125" customFormat="1" hidden="1" customHeight="1" spans="1:65">
      <c r="A49" s="125">
        <v>32</v>
      </c>
      <c r="B49" s="125"/>
      <c r="C49" s="168">
        <v>45666</v>
      </c>
      <c r="D49" s="125">
        <v>20250000145</v>
      </c>
      <c r="G49" s="1037" t="s">
        <v>6002</v>
      </c>
      <c r="H49" s="125" t="s">
        <v>6003</v>
      </c>
      <c r="I49" s="1037" t="s">
        <v>6004</v>
      </c>
      <c r="J49" s="170" t="s">
        <v>6005</v>
      </c>
      <c r="K49" s="164">
        <v>126.5</v>
      </c>
      <c r="L49" s="125">
        <v>126.5</v>
      </c>
      <c r="M49" s="125">
        <v>5849.8</v>
      </c>
      <c r="N49" s="125">
        <v>740000</v>
      </c>
      <c r="O49" s="125">
        <v>5849.8</v>
      </c>
      <c r="P49" s="125"/>
      <c r="Q49" s="125"/>
      <c r="R49" s="125"/>
      <c r="S49" s="125"/>
      <c r="T49" s="125"/>
      <c r="U49" s="125"/>
      <c r="V49" s="125" t="s">
        <v>2160</v>
      </c>
      <c r="W49" s="125">
        <v>10000</v>
      </c>
      <c r="X49" s="125" t="s">
        <v>505</v>
      </c>
      <c r="Y49" s="125">
        <v>230000</v>
      </c>
      <c r="Z49" s="125" t="s">
        <v>785</v>
      </c>
      <c r="AA49" s="125">
        <v>500000</v>
      </c>
      <c r="AB49" s="125" t="s">
        <v>6006</v>
      </c>
      <c r="AI49" s="165">
        <f t="shared" si="7"/>
        <v>740000</v>
      </c>
      <c r="AL49" s="125">
        <f t="shared" ref="AL49:AL59" si="8">N49-AI49</f>
        <v>0</v>
      </c>
      <c r="AM49" s="125">
        <v>13999619791</v>
      </c>
      <c r="AN49" s="125" t="s">
        <v>3284</v>
      </c>
      <c r="AP49" s="165">
        <f t="shared" si="6"/>
        <v>740000</v>
      </c>
      <c r="AQ49" s="166">
        <f>0.7%+0.02%+0.1%+0.03%</f>
        <v>0.0085</v>
      </c>
      <c r="AU49" s="125">
        <v>240000</v>
      </c>
      <c r="AW49" s="125">
        <v>500000</v>
      </c>
      <c r="BM49" s="125" t="s">
        <v>260</v>
      </c>
    </row>
    <row r="50" s="125" customFormat="1" hidden="1" customHeight="1" spans="1:65">
      <c r="A50" s="125">
        <v>33</v>
      </c>
      <c r="B50" s="125"/>
      <c r="C50" s="168">
        <v>45845</v>
      </c>
      <c r="D50" s="125">
        <v>20250003607</v>
      </c>
      <c r="G50" s="1037" t="s">
        <v>6007</v>
      </c>
      <c r="H50" s="125" t="s">
        <v>6008</v>
      </c>
      <c r="I50" s="1037" t="s">
        <v>6009</v>
      </c>
      <c r="J50" s="170" t="s">
        <v>6010</v>
      </c>
      <c r="K50" s="164">
        <v>126.5</v>
      </c>
      <c r="L50" s="125">
        <v>126.5</v>
      </c>
      <c r="M50" s="125">
        <v>5928.85</v>
      </c>
      <c r="N50" s="125">
        <v>750000</v>
      </c>
      <c r="O50" s="125">
        <v>5928.85</v>
      </c>
      <c r="P50" s="125"/>
      <c r="Q50" s="125"/>
      <c r="R50" s="125"/>
      <c r="S50" s="125"/>
      <c r="T50" s="168"/>
      <c r="U50" s="125"/>
      <c r="V50" s="125" t="s">
        <v>257</v>
      </c>
      <c r="W50" s="125">
        <v>20000</v>
      </c>
      <c r="X50" s="125" t="s">
        <v>3597</v>
      </c>
      <c r="Y50" s="125">
        <v>730000</v>
      </c>
      <c r="Z50" s="168">
        <v>45844</v>
      </c>
      <c r="AI50" s="165">
        <f t="shared" si="7"/>
        <v>750000</v>
      </c>
      <c r="AL50" s="125">
        <f t="shared" si="8"/>
        <v>0</v>
      </c>
      <c r="AM50" s="125">
        <v>15739340115</v>
      </c>
      <c r="AN50" s="175" t="s">
        <v>5985</v>
      </c>
      <c r="AP50" s="165">
        <f t="shared" si="6"/>
        <v>750000</v>
      </c>
      <c r="AQ50" s="169">
        <f>0.7%+0.05%+0.08%+0.03%</f>
        <v>0.0086</v>
      </c>
      <c r="BA50" s="125">
        <v>750000</v>
      </c>
      <c r="BM50" s="125" t="s">
        <v>2707</v>
      </c>
    </row>
    <row r="51" s="125" customFormat="1" hidden="1" customHeight="1" spans="1:65">
      <c r="A51" s="125">
        <v>34</v>
      </c>
      <c r="B51" s="125"/>
      <c r="C51" s="168">
        <v>45754</v>
      </c>
      <c r="D51" s="125">
        <v>20250001845</v>
      </c>
      <c r="G51" s="1037" t="s">
        <v>6011</v>
      </c>
      <c r="H51" s="125" t="s">
        <v>6012</v>
      </c>
      <c r="I51" s="125"/>
      <c r="J51" s="170" t="s">
        <v>6013</v>
      </c>
      <c r="K51" s="164">
        <v>126.5</v>
      </c>
      <c r="L51" s="125">
        <v>126.5</v>
      </c>
      <c r="M51" s="125">
        <v>5668.37</v>
      </c>
      <c r="N51" s="125">
        <v>717049</v>
      </c>
      <c r="O51" s="125">
        <v>5668.37</v>
      </c>
      <c r="P51" s="125"/>
      <c r="Q51" s="125"/>
      <c r="R51" s="125"/>
      <c r="S51" s="125"/>
      <c r="T51" s="125"/>
      <c r="U51" s="125"/>
      <c r="V51" s="125" t="s">
        <v>294</v>
      </c>
      <c r="W51" s="125">
        <v>20000</v>
      </c>
      <c r="X51" s="125" t="s">
        <v>2676</v>
      </c>
      <c r="Y51" s="125">
        <v>50000</v>
      </c>
      <c r="Z51" s="125" t="s">
        <v>2897</v>
      </c>
      <c r="AA51" s="125">
        <v>77049</v>
      </c>
      <c r="AB51" s="125" t="s">
        <v>3105</v>
      </c>
      <c r="AC51" s="125">
        <v>570000</v>
      </c>
      <c r="AD51" s="125" t="s">
        <v>3564</v>
      </c>
      <c r="AI51" s="165">
        <f t="shared" si="7"/>
        <v>717049</v>
      </c>
      <c r="AL51" s="125">
        <f t="shared" si="8"/>
        <v>0</v>
      </c>
      <c r="AM51" s="125">
        <v>15188306376</v>
      </c>
      <c r="AN51" s="125" t="s">
        <v>3332</v>
      </c>
      <c r="AP51" s="165">
        <f t="shared" si="6"/>
        <v>717049</v>
      </c>
      <c r="AQ51" s="166">
        <f>0.7%+0.08%+0.03%</f>
        <v>0.0081</v>
      </c>
      <c r="AX51" s="125">
        <v>147049</v>
      </c>
      <c r="AZ51" s="125">
        <v>570000</v>
      </c>
      <c r="BM51" s="125" t="s">
        <v>260</v>
      </c>
    </row>
    <row r="52" s="125" customFormat="1" hidden="1" customHeight="1" spans="1:65">
      <c r="A52" s="125">
        <v>35</v>
      </c>
      <c r="B52" s="125"/>
      <c r="C52" s="168">
        <v>45675</v>
      </c>
      <c r="D52" s="125">
        <v>20250000327</v>
      </c>
      <c r="G52" s="1037" t="s">
        <v>6014</v>
      </c>
      <c r="H52" s="125" t="s">
        <v>6015</v>
      </c>
      <c r="I52" s="1037" t="s">
        <v>6016</v>
      </c>
      <c r="J52" s="170" t="s">
        <v>6017</v>
      </c>
      <c r="K52" s="164">
        <v>126.5</v>
      </c>
      <c r="L52" s="125">
        <v>126.5</v>
      </c>
      <c r="M52" s="125">
        <v>5900</v>
      </c>
      <c r="N52" s="176">
        <v>746350</v>
      </c>
      <c r="O52" s="125">
        <v>6025.69</v>
      </c>
      <c r="P52" s="125"/>
      <c r="Q52" s="125"/>
      <c r="R52" s="125"/>
      <c r="S52" s="125"/>
      <c r="T52" s="125"/>
      <c r="U52" s="125"/>
      <c r="V52" s="125" t="s">
        <v>561</v>
      </c>
      <c r="W52" s="125">
        <v>20000</v>
      </c>
      <c r="X52" s="125" t="s">
        <v>1125</v>
      </c>
      <c r="Y52" s="125">
        <v>406350</v>
      </c>
      <c r="Z52" s="125" t="s">
        <v>657</v>
      </c>
      <c r="AA52" s="125">
        <v>30000</v>
      </c>
      <c r="AB52" s="125" t="s">
        <v>4932</v>
      </c>
      <c r="AC52" s="125">
        <v>290000</v>
      </c>
      <c r="AD52" s="125" t="s">
        <v>4852</v>
      </c>
      <c r="AI52" s="165">
        <f t="shared" si="7"/>
        <v>746350</v>
      </c>
      <c r="AL52" s="125">
        <f t="shared" si="8"/>
        <v>0</v>
      </c>
      <c r="AM52" s="125">
        <v>13199960206</v>
      </c>
      <c r="AN52" s="125" t="s">
        <v>3284</v>
      </c>
      <c r="AP52" s="165">
        <f t="shared" si="6"/>
        <v>746350</v>
      </c>
      <c r="AQ52" s="177">
        <f>0.7%+0.04%+0.12%+0.03%</f>
        <v>0.0089</v>
      </c>
      <c r="AV52" s="125">
        <v>456350</v>
      </c>
      <c r="AW52" s="125">
        <v>290000</v>
      </c>
      <c r="BM52" s="125" t="s">
        <v>260</v>
      </c>
    </row>
    <row r="53" s="125" customFormat="1" hidden="1" customHeight="1" spans="1:65">
      <c r="A53" s="125">
        <v>36</v>
      </c>
      <c r="B53" s="125"/>
      <c r="C53" s="168">
        <v>45779</v>
      </c>
      <c r="D53" s="125">
        <v>20250002390</v>
      </c>
      <c r="G53" s="1037" t="s">
        <v>6018</v>
      </c>
      <c r="H53" s="125" t="s">
        <v>6019</v>
      </c>
      <c r="I53" s="125"/>
      <c r="J53" s="170" t="s">
        <v>6020</v>
      </c>
      <c r="K53" s="164">
        <v>126.5</v>
      </c>
      <c r="L53" s="125">
        <v>126.5</v>
      </c>
      <c r="M53" s="174">
        <v>5691.7</v>
      </c>
      <c r="N53" s="125">
        <v>720000</v>
      </c>
      <c r="O53" s="125">
        <v>5691.7</v>
      </c>
      <c r="P53" s="125"/>
      <c r="Q53" s="125"/>
      <c r="R53" s="125"/>
      <c r="S53" s="125"/>
      <c r="T53" s="125"/>
      <c r="U53" s="125"/>
      <c r="V53" s="125"/>
      <c r="W53" s="125">
        <v>20000</v>
      </c>
      <c r="X53" s="125" t="s">
        <v>4933</v>
      </c>
      <c r="Y53" s="125">
        <v>73000</v>
      </c>
      <c r="Z53" s="125" t="s">
        <v>3242</v>
      </c>
      <c r="AA53" s="125">
        <v>57000</v>
      </c>
      <c r="AB53" s="125" t="s">
        <v>2113</v>
      </c>
      <c r="AC53" s="125">
        <v>570000</v>
      </c>
      <c r="AD53" s="125" t="s">
        <v>3508</v>
      </c>
      <c r="AI53" s="165">
        <f t="shared" si="7"/>
        <v>720000</v>
      </c>
      <c r="AL53" s="125">
        <f t="shared" si="8"/>
        <v>0</v>
      </c>
      <c r="AM53" s="125">
        <v>15299116365</v>
      </c>
      <c r="AN53" s="125" t="s">
        <v>3362</v>
      </c>
      <c r="AP53" s="165">
        <f t="shared" si="6"/>
        <v>720000</v>
      </c>
      <c r="AQ53" s="169">
        <f>0.4%+0.08%+0.03%</f>
        <v>0.0051</v>
      </c>
      <c r="AY53" s="125">
        <v>150000</v>
      </c>
      <c r="AZ53" s="125">
        <v>570000</v>
      </c>
      <c r="BM53" s="125" t="s">
        <v>260</v>
      </c>
    </row>
    <row r="54" s="125" customFormat="1" hidden="1" customHeight="1" spans="1:65">
      <c r="A54" s="125">
        <v>37</v>
      </c>
      <c r="B54" s="125"/>
      <c r="C54" s="168">
        <v>45704</v>
      </c>
      <c r="D54" s="125">
        <v>20250000656</v>
      </c>
      <c r="G54" s="1037" t="s">
        <v>6021</v>
      </c>
      <c r="H54" s="125" t="s">
        <v>6022</v>
      </c>
      <c r="I54" s="125"/>
      <c r="J54" s="170" t="s">
        <v>6023</v>
      </c>
      <c r="K54" s="164">
        <v>126.5</v>
      </c>
      <c r="L54" s="125">
        <v>126.5</v>
      </c>
      <c r="M54" s="125">
        <v>5928.85</v>
      </c>
      <c r="N54" s="125">
        <v>750000</v>
      </c>
      <c r="O54" s="125">
        <v>5928.85</v>
      </c>
      <c r="P54" s="125"/>
      <c r="Q54" s="125"/>
      <c r="R54" s="125"/>
      <c r="S54" s="125"/>
      <c r="T54" s="125"/>
      <c r="U54" s="125"/>
      <c r="V54" s="125" t="s">
        <v>267</v>
      </c>
      <c r="W54" s="125">
        <v>20000</v>
      </c>
      <c r="X54" s="125" t="s">
        <v>2940</v>
      </c>
      <c r="Y54" s="125">
        <f>70000+150000</f>
        <v>220000</v>
      </c>
      <c r="Z54" s="125" t="s">
        <v>6024</v>
      </c>
      <c r="AA54" s="125">
        <v>110000</v>
      </c>
      <c r="AB54" s="125" t="s">
        <v>2842</v>
      </c>
      <c r="AC54" s="125">
        <v>400000</v>
      </c>
      <c r="AD54" s="125" t="s">
        <v>3087</v>
      </c>
      <c r="AI54" s="165">
        <f t="shared" si="7"/>
        <v>750000</v>
      </c>
      <c r="AL54" s="125">
        <f t="shared" si="8"/>
        <v>0</v>
      </c>
      <c r="AM54" s="125">
        <v>15276145973</v>
      </c>
      <c r="AN54" s="125" t="s">
        <v>3284</v>
      </c>
      <c r="AP54" s="165">
        <f t="shared" si="6"/>
        <v>750000</v>
      </c>
      <c r="AQ54" s="172">
        <f>0.7%+0.04%+0.12%+0.03%</f>
        <v>0.0089</v>
      </c>
      <c r="AV54" s="125">
        <v>350000</v>
      </c>
      <c r="AW54" s="125">
        <v>400000</v>
      </c>
      <c r="BM54" s="125" t="s">
        <v>260</v>
      </c>
    </row>
    <row r="55" s="125" customFormat="1" hidden="1" customHeight="1" spans="1:65">
      <c r="A55" s="125">
        <v>38</v>
      </c>
      <c r="B55" s="125"/>
      <c r="C55" s="168">
        <v>45932</v>
      </c>
      <c r="D55" s="125">
        <v>20250004978</v>
      </c>
      <c r="G55" s="1037" t="s">
        <v>6025</v>
      </c>
      <c r="H55" s="125" t="s">
        <v>6026</v>
      </c>
      <c r="I55" s="1037" t="s">
        <v>6027</v>
      </c>
      <c r="J55" s="170" t="s">
        <v>6028</v>
      </c>
      <c r="K55" s="164">
        <v>126.5</v>
      </c>
      <c r="L55" s="125">
        <v>126.5</v>
      </c>
      <c r="M55" s="125">
        <v>5454.55</v>
      </c>
      <c r="N55" s="125">
        <v>690000</v>
      </c>
      <c r="O55" s="125">
        <v>5454.55</v>
      </c>
      <c r="T55" s="168"/>
      <c r="U55" s="125"/>
      <c r="V55" s="125" t="s">
        <v>370</v>
      </c>
      <c r="W55" s="125">
        <f>10000+130000</f>
        <v>140000</v>
      </c>
      <c r="X55" s="168" t="s">
        <v>6029</v>
      </c>
      <c r="Y55" s="125">
        <v>550000</v>
      </c>
      <c r="Z55" s="168">
        <v>45992</v>
      </c>
      <c r="AA55" s="125"/>
      <c r="AB55" s="125"/>
      <c r="AC55" s="125"/>
      <c r="AD55" s="125"/>
      <c r="AE55" s="125"/>
      <c r="AF55" s="125"/>
      <c r="AG55" s="125"/>
      <c r="AH55" s="125"/>
      <c r="AI55" s="165">
        <f t="shared" si="7"/>
        <v>690000</v>
      </c>
      <c r="AL55" s="125">
        <f t="shared" si="8"/>
        <v>0</v>
      </c>
      <c r="AM55" s="125">
        <v>18946680596</v>
      </c>
      <c r="AN55" s="173" t="s">
        <v>6030</v>
      </c>
      <c r="AO55" s="125"/>
      <c r="AP55" s="125">
        <f t="shared" si="6"/>
        <v>690000</v>
      </c>
      <c r="AQ55" s="169">
        <f>0.7%+0.04%+0.08%+0.03%</f>
        <v>0.0085</v>
      </c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D55" s="125">
        <v>140000</v>
      </c>
      <c r="BF55" s="125">
        <v>550000</v>
      </c>
      <c r="BM55" s="125" t="s">
        <v>3258</v>
      </c>
    </row>
    <row r="56" s="125" customFormat="1" hidden="1" customHeight="1" spans="1:65">
      <c r="A56" s="125">
        <v>39</v>
      </c>
      <c r="B56" s="125"/>
      <c r="C56" s="168">
        <v>45932</v>
      </c>
      <c r="D56" s="125">
        <v>20250005013</v>
      </c>
      <c r="G56" s="1037" t="s">
        <v>6031</v>
      </c>
      <c r="H56" s="125" t="s">
        <v>6032</v>
      </c>
      <c r="I56" s="1037" t="s">
        <v>6033</v>
      </c>
      <c r="J56" s="170" t="s">
        <v>6034</v>
      </c>
      <c r="K56" s="164">
        <v>126.5</v>
      </c>
      <c r="L56" s="125">
        <v>126.5</v>
      </c>
      <c r="M56" s="125">
        <v>5454.5</v>
      </c>
      <c r="N56" s="125">
        <v>690000</v>
      </c>
      <c r="O56" s="125">
        <f>5725.6-300</f>
        <v>5425.6</v>
      </c>
      <c r="T56" s="168"/>
      <c r="U56" s="125"/>
      <c r="V56" s="125" t="s">
        <v>370</v>
      </c>
      <c r="W56" s="125">
        <v>20000</v>
      </c>
      <c r="X56" s="168">
        <v>45922</v>
      </c>
      <c r="Y56" s="125">
        <v>670000</v>
      </c>
      <c r="Z56" s="168">
        <v>45932</v>
      </c>
      <c r="AA56" s="125"/>
      <c r="AB56" s="125"/>
      <c r="AC56" s="125"/>
      <c r="AD56" s="125"/>
      <c r="AE56" s="125"/>
      <c r="AF56" s="125"/>
      <c r="AG56" s="125"/>
      <c r="AH56" s="125"/>
      <c r="AI56" s="165">
        <f t="shared" si="7"/>
        <v>690000</v>
      </c>
      <c r="AL56" s="125">
        <f t="shared" si="8"/>
        <v>0</v>
      </c>
      <c r="AN56" s="125" t="s">
        <v>3362</v>
      </c>
      <c r="AO56" s="125"/>
      <c r="AP56" s="125">
        <f t="shared" si="6"/>
        <v>690000</v>
      </c>
      <c r="AQ56" s="169">
        <f>0.7%+0.04%+0.08%+0.03%</f>
        <v>0.0085</v>
      </c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D56" s="125">
        <v>690000</v>
      </c>
      <c r="BM56" s="125" t="s">
        <v>3258</v>
      </c>
    </row>
    <row r="57" s="125" customFormat="1" hidden="1" customHeight="1" spans="1:65">
      <c r="A57" s="125">
        <v>40</v>
      </c>
      <c r="B57" s="125"/>
      <c r="C57" s="168">
        <v>45903</v>
      </c>
      <c r="D57" s="125">
        <v>20250004496</v>
      </c>
      <c r="G57" s="1037" t="s">
        <v>6035</v>
      </c>
      <c r="H57" s="125" t="s">
        <v>6036</v>
      </c>
      <c r="I57" s="1037" t="s">
        <v>3588</v>
      </c>
      <c r="J57" s="170" t="s">
        <v>6037</v>
      </c>
      <c r="K57" s="164">
        <v>126.5</v>
      </c>
      <c r="L57" s="125">
        <v>126.5</v>
      </c>
      <c r="M57" s="125">
        <v>5454.54</v>
      </c>
      <c r="N57" s="125">
        <v>690000</v>
      </c>
      <c r="O57" s="125">
        <f>5717.69-300</f>
        <v>5417.69</v>
      </c>
      <c r="T57" s="168"/>
      <c r="U57" s="125"/>
      <c r="V57" s="125" t="s">
        <v>690</v>
      </c>
      <c r="W57" s="125">
        <v>10000</v>
      </c>
      <c r="X57" s="168">
        <v>45894</v>
      </c>
      <c r="Y57" s="125">
        <f>84000+44000</f>
        <v>128000</v>
      </c>
      <c r="Z57" s="168" t="s">
        <v>6038</v>
      </c>
      <c r="AA57" s="125">
        <v>552000</v>
      </c>
      <c r="AB57" s="168">
        <v>45958</v>
      </c>
      <c r="AI57" s="165">
        <f t="shared" si="7"/>
        <v>690000</v>
      </c>
      <c r="AL57" s="125">
        <f t="shared" si="8"/>
        <v>0</v>
      </c>
      <c r="AN57" s="125" t="s">
        <v>3362</v>
      </c>
      <c r="AP57" s="125">
        <f t="shared" si="6"/>
        <v>690000</v>
      </c>
      <c r="AQ57" s="169">
        <f>0.7%+0.08%+0.03%</f>
        <v>0.0081</v>
      </c>
      <c r="BC57" s="125">
        <v>138000</v>
      </c>
      <c r="BD57" s="125">
        <v>552000</v>
      </c>
      <c r="BM57" s="125" t="s">
        <v>2707</v>
      </c>
    </row>
    <row r="58" s="125" customFormat="1" hidden="1" customHeight="1" spans="1:65">
      <c r="A58" s="125">
        <v>41</v>
      </c>
      <c r="B58" s="125"/>
      <c r="C58" s="168">
        <v>45936</v>
      </c>
      <c r="D58" s="125">
        <v>20250005121</v>
      </c>
      <c r="G58" s="1037" t="s">
        <v>6039</v>
      </c>
      <c r="H58" s="125" t="s">
        <v>6040</v>
      </c>
      <c r="I58" s="125"/>
      <c r="J58" s="170" t="s">
        <v>6041</v>
      </c>
      <c r="K58" s="164">
        <v>126.5</v>
      </c>
      <c r="L58" s="125">
        <v>126.5</v>
      </c>
      <c r="M58" s="125">
        <v>5454.55</v>
      </c>
      <c r="N58" s="125">
        <v>690000</v>
      </c>
      <c r="O58" s="125">
        <f>5745.69-300</f>
        <v>5445.69</v>
      </c>
      <c r="T58" s="168"/>
      <c r="U58" s="125"/>
      <c r="V58" s="125" t="s">
        <v>3393</v>
      </c>
      <c r="W58" s="125">
        <f>140000+400000+20000</f>
        <v>560000</v>
      </c>
      <c r="X58" s="168" t="s">
        <v>6042</v>
      </c>
      <c r="Y58" s="125">
        <v>130000</v>
      </c>
      <c r="Z58" s="168">
        <v>45965</v>
      </c>
      <c r="AA58" s="125"/>
      <c r="AB58" s="125"/>
      <c r="AC58" s="125"/>
      <c r="AD58" s="125"/>
      <c r="AE58" s="125"/>
      <c r="AF58" s="125"/>
      <c r="AG58" s="125"/>
      <c r="AH58" s="125"/>
      <c r="AI58" s="165">
        <f t="shared" si="7"/>
        <v>690000</v>
      </c>
      <c r="AL58" s="125">
        <f t="shared" si="8"/>
        <v>0</v>
      </c>
      <c r="AP58" s="125">
        <f t="shared" si="6"/>
        <v>690000</v>
      </c>
      <c r="AQ58" s="169">
        <f>0.7%+0.03%+0.08%+0.03%</f>
        <v>0.0084</v>
      </c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D58" s="125">
        <v>560000</v>
      </c>
      <c r="BE58" s="125">
        <v>130000</v>
      </c>
      <c r="BM58" s="125" t="s">
        <v>3258</v>
      </c>
    </row>
    <row r="59" s="125" customFormat="1" hidden="1" customHeight="1" spans="1:65">
      <c r="A59" s="125">
        <v>42</v>
      </c>
      <c r="B59" s="125"/>
      <c r="C59" s="168">
        <v>45898</v>
      </c>
      <c r="D59" s="125">
        <v>20250004440</v>
      </c>
      <c r="G59" s="1037" t="s">
        <v>6043</v>
      </c>
      <c r="H59" s="125" t="s">
        <v>6044</v>
      </c>
      <c r="I59" s="125"/>
      <c r="J59" s="170" t="s">
        <v>6045</v>
      </c>
      <c r="K59" s="164">
        <v>126.5</v>
      </c>
      <c r="L59" s="125">
        <v>126.5</v>
      </c>
      <c r="M59" s="125">
        <v>5487</v>
      </c>
      <c r="N59" s="125">
        <v>694106</v>
      </c>
      <c r="O59" s="125">
        <f>5737.69-300</f>
        <v>5437.69</v>
      </c>
      <c r="T59" s="168"/>
      <c r="U59" s="125"/>
      <c r="V59" s="125" t="s">
        <v>267</v>
      </c>
      <c r="W59" s="125">
        <v>104106</v>
      </c>
      <c r="X59" s="168">
        <v>45898</v>
      </c>
      <c r="Y59" s="125">
        <v>40000</v>
      </c>
      <c r="Z59" s="168">
        <v>45908</v>
      </c>
      <c r="AA59" s="125">
        <v>550000</v>
      </c>
      <c r="AB59" s="168">
        <v>45943</v>
      </c>
      <c r="AC59" s="125"/>
      <c r="AD59" s="168"/>
      <c r="AI59" s="165">
        <f t="shared" si="7"/>
        <v>694106</v>
      </c>
      <c r="AL59" s="125">
        <f t="shared" si="8"/>
        <v>0</v>
      </c>
      <c r="AM59" s="125">
        <v>18920128311</v>
      </c>
      <c r="AN59" s="125" t="s">
        <v>3362</v>
      </c>
      <c r="AP59" s="125">
        <f t="shared" si="6"/>
        <v>694106</v>
      </c>
      <c r="AQ59" s="166">
        <f>0.7%+0.08%+0.03%</f>
        <v>0.0081</v>
      </c>
      <c r="BC59" s="125">
        <v>144106</v>
      </c>
      <c r="BD59" s="125">
        <v>550000</v>
      </c>
      <c r="BM59" s="125" t="s">
        <v>2707</v>
      </c>
    </row>
    <row r="60" s="107" customFormat="1" hidden="1" customHeight="1" spans="1:65">
      <c r="A60" s="107">
        <v>43</v>
      </c>
      <c r="B60" s="107"/>
      <c r="C60" s="107"/>
      <c r="D60" s="107"/>
      <c r="J60" s="167" t="s">
        <v>6046</v>
      </c>
      <c r="K60" s="162">
        <v>126.5</v>
      </c>
      <c r="L60" s="107"/>
      <c r="M60" s="107"/>
      <c r="N60" s="107"/>
      <c r="O60" s="107">
        <v>5745.69</v>
      </c>
      <c r="P60" s="107"/>
      <c r="Q60" s="107"/>
      <c r="R60" s="107"/>
      <c r="S60" s="107"/>
      <c r="T60" s="107"/>
      <c r="U60" s="107"/>
      <c r="V60" s="125"/>
      <c r="W60" s="107"/>
      <c r="X60" s="107"/>
      <c r="Y60" s="107"/>
      <c r="Z60" s="107"/>
      <c r="AI60" s="156">
        <f t="shared" si="7"/>
        <v>0</v>
      </c>
      <c r="AP60" s="101">
        <f t="shared" si="6"/>
        <v>0</v>
      </c>
    </row>
    <row r="61" s="107" customFormat="1" hidden="1" customHeight="1" spans="1:65">
      <c r="A61" s="107">
        <v>44</v>
      </c>
      <c r="B61" s="107"/>
      <c r="C61" s="107"/>
      <c r="D61" s="107"/>
      <c r="J61" s="167" t="s">
        <v>6047</v>
      </c>
      <c r="K61" s="162">
        <v>126.5</v>
      </c>
      <c r="L61" s="107"/>
      <c r="M61" s="107"/>
      <c r="N61" s="107"/>
      <c r="O61" s="107">
        <v>6609.31</v>
      </c>
      <c r="P61" s="107"/>
      <c r="Q61" s="107"/>
      <c r="R61" s="107"/>
      <c r="S61" s="107"/>
      <c r="T61" s="107"/>
      <c r="U61" s="107"/>
      <c r="V61" s="125"/>
      <c r="W61" s="107"/>
      <c r="X61" s="107"/>
      <c r="Y61" s="107"/>
      <c r="Z61" s="107"/>
      <c r="AI61" s="156">
        <f t="shared" si="7"/>
        <v>0</v>
      </c>
      <c r="AP61" s="101">
        <f t="shared" si="6"/>
        <v>0</v>
      </c>
    </row>
    <row r="62" s="107" customFormat="1" hidden="1" customHeight="1" spans="1:65">
      <c r="A62" s="107">
        <v>45</v>
      </c>
      <c r="B62" s="107"/>
      <c r="C62" s="107"/>
      <c r="D62" s="107"/>
      <c r="J62" s="167" t="s">
        <v>6048</v>
      </c>
      <c r="K62" s="162">
        <v>109.7</v>
      </c>
      <c r="L62" s="107"/>
      <c r="M62" s="107"/>
      <c r="N62" s="107"/>
      <c r="O62" s="107">
        <v>7775.31</v>
      </c>
      <c r="P62" s="107"/>
      <c r="Q62" s="107"/>
      <c r="R62" s="107"/>
      <c r="S62" s="107"/>
      <c r="T62" s="107"/>
      <c r="U62" s="107"/>
      <c r="V62" s="125"/>
      <c r="W62" s="107"/>
      <c r="X62" s="107"/>
      <c r="Y62" s="107"/>
      <c r="Z62" s="107"/>
      <c r="AI62" s="156">
        <f t="shared" si="7"/>
        <v>0</v>
      </c>
      <c r="AP62" s="101">
        <f t="shared" si="6"/>
        <v>0</v>
      </c>
    </row>
    <row r="63" s="107" customFormat="1" hidden="1" customHeight="1" spans="1:65">
      <c r="A63" s="107">
        <v>46</v>
      </c>
      <c r="B63" s="107"/>
      <c r="C63" s="107"/>
      <c r="D63" s="107"/>
      <c r="J63" s="167" t="s">
        <v>6049</v>
      </c>
      <c r="K63" s="162">
        <v>129.06</v>
      </c>
      <c r="L63" s="107"/>
      <c r="M63" s="107"/>
      <c r="N63" s="107"/>
      <c r="O63" s="107">
        <v>7745.31</v>
      </c>
      <c r="P63" s="107"/>
      <c r="Q63" s="107"/>
      <c r="R63" s="107"/>
      <c r="S63" s="107"/>
      <c r="T63" s="107"/>
      <c r="U63" s="107"/>
      <c r="V63" s="125"/>
      <c r="W63" s="107"/>
      <c r="X63" s="107"/>
      <c r="Y63" s="107"/>
      <c r="Z63" s="107"/>
      <c r="AI63" s="156">
        <f t="shared" si="7"/>
        <v>0</v>
      </c>
      <c r="AP63" s="101">
        <f t="shared" ref="AP63:AP94" si="9">SUM(AR63:BJ63)</f>
        <v>0</v>
      </c>
    </row>
    <row r="64" s="107" customFormat="1" hidden="1" customHeight="1" spans="1:65">
      <c r="A64" s="107">
        <v>47</v>
      </c>
      <c r="B64" s="107"/>
      <c r="C64" s="107"/>
      <c r="D64" s="107"/>
      <c r="J64" s="167" t="s">
        <v>6050</v>
      </c>
      <c r="K64" s="162">
        <v>126.5</v>
      </c>
      <c r="L64" s="107"/>
      <c r="M64" s="107"/>
      <c r="N64" s="107"/>
      <c r="O64" s="107">
        <v>5399.41</v>
      </c>
      <c r="P64" s="107"/>
      <c r="Q64" s="107"/>
      <c r="R64" s="107"/>
      <c r="S64" s="107"/>
      <c r="T64" s="107"/>
      <c r="U64" s="107"/>
      <c r="V64" s="125"/>
      <c r="W64" s="107"/>
      <c r="X64" s="107"/>
      <c r="Y64" s="107"/>
      <c r="Z64" s="107"/>
      <c r="AI64" s="156">
        <f t="shared" si="7"/>
        <v>0</v>
      </c>
      <c r="AP64" s="101">
        <f t="shared" si="9"/>
        <v>0</v>
      </c>
    </row>
    <row r="65" s="107" customFormat="1" hidden="1" customHeight="1" spans="1:65">
      <c r="A65" s="107">
        <v>48</v>
      </c>
      <c r="B65" s="107"/>
      <c r="C65" s="107"/>
      <c r="D65" s="107"/>
      <c r="F65" s="178" t="s">
        <v>6051</v>
      </c>
      <c r="G65" s="107"/>
      <c r="H65" s="107"/>
      <c r="I65" s="107"/>
      <c r="J65" s="167" t="s">
        <v>6052</v>
      </c>
      <c r="K65" s="162">
        <v>126.91</v>
      </c>
      <c r="L65" s="107"/>
      <c r="M65" s="107"/>
      <c r="N65" s="107"/>
      <c r="O65" s="107">
        <v>5380.41</v>
      </c>
      <c r="P65" s="107"/>
      <c r="Q65" s="107"/>
      <c r="R65" s="107"/>
      <c r="S65" s="107"/>
      <c r="T65" s="107"/>
      <c r="U65" s="107"/>
      <c r="V65" s="125"/>
      <c r="W65" s="107"/>
      <c r="X65" s="107"/>
      <c r="Y65" s="107"/>
      <c r="Z65" s="107"/>
      <c r="AI65" s="156">
        <f t="shared" si="7"/>
        <v>0</v>
      </c>
      <c r="AP65" s="101">
        <f t="shared" si="9"/>
        <v>0</v>
      </c>
    </row>
    <row r="66" s="125" customFormat="1" hidden="1" customHeight="1" spans="1:65">
      <c r="A66" s="125">
        <v>49</v>
      </c>
      <c r="B66" s="125"/>
      <c r="C66" s="168">
        <v>45903</v>
      </c>
      <c r="D66" s="125">
        <v>20250004482</v>
      </c>
      <c r="G66" s="125" t="s">
        <v>6053</v>
      </c>
      <c r="H66" s="173" t="s">
        <v>6054</v>
      </c>
      <c r="I66" s="1037" t="s">
        <v>6055</v>
      </c>
      <c r="J66" s="170" t="s">
        <v>6056</v>
      </c>
      <c r="K66" s="164">
        <v>126.5</v>
      </c>
      <c r="L66" s="125">
        <v>126.5</v>
      </c>
      <c r="M66" s="125">
        <v>5494.07</v>
      </c>
      <c r="N66" s="125">
        <v>695000</v>
      </c>
      <c r="O66" s="125">
        <v>5494.07</v>
      </c>
      <c r="P66" s="125"/>
      <c r="Q66" s="125"/>
      <c r="R66" s="125"/>
      <c r="S66" s="125"/>
      <c r="T66" s="168"/>
      <c r="U66" s="125"/>
      <c r="V66" s="125" t="s">
        <v>690</v>
      </c>
      <c r="W66" s="125">
        <v>20000</v>
      </c>
      <c r="X66" s="168">
        <v>45899</v>
      </c>
      <c r="Y66" s="125">
        <v>525000</v>
      </c>
      <c r="Z66" s="168">
        <v>45902</v>
      </c>
      <c r="AA66" s="125">
        <v>150000</v>
      </c>
      <c r="AB66" s="168">
        <v>45961</v>
      </c>
      <c r="AI66" s="165">
        <f t="shared" si="7"/>
        <v>695000</v>
      </c>
      <c r="AL66" s="125">
        <f t="shared" ref="AL66:AL71" si="10">N66-AI66</f>
        <v>0</v>
      </c>
      <c r="AN66" s="125" t="s">
        <v>6001</v>
      </c>
      <c r="AP66" s="125">
        <f t="shared" si="9"/>
        <v>675000</v>
      </c>
      <c r="AQ66" s="169">
        <f>0.7%+0.08%+0.03%</f>
        <v>0.0081</v>
      </c>
      <c r="BC66" s="125">
        <v>525000</v>
      </c>
      <c r="BD66" s="125">
        <v>150000</v>
      </c>
      <c r="BM66" s="125" t="s">
        <v>2707</v>
      </c>
    </row>
    <row r="67" s="125" customFormat="1" hidden="1" customHeight="1" spans="1:65">
      <c r="A67" s="125">
        <v>50</v>
      </c>
      <c r="B67" s="125"/>
      <c r="C67" s="168">
        <v>46052</v>
      </c>
      <c r="D67" s="125">
        <v>20260000496</v>
      </c>
      <c r="G67" s="1037" t="s">
        <v>6057</v>
      </c>
      <c r="H67" s="173" t="s">
        <v>4147</v>
      </c>
      <c r="I67" s="1037" t="s">
        <v>6058</v>
      </c>
      <c r="J67" s="170" t="s">
        <v>6059</v>
      </c>
      <c r="K67" s="164">
        <v>126.91</v>
      </c>
      <c r="L67" s="125">
        <v>126.91</v>
      </c>
      <c r="M67" s="125">
        <v>5100</v>
      </c>
      <c r="N67" s="125">
        <v>647241</v>
      </c>
      <c r="O67" s="125">
        <v>5100</v>
      </c>
      <c r="P67" s="125"/>
      <c r="Q67" s="125"/>
      <c r="R67" s="125"/>
      <c r="S67" s="125">
        <v>500000</v>
      </c>
      <c r="T67" s="168">
        <v>46092</v>
      </c>
      <c r="U67" s="125"/>
      <c r="V67" s="125" t="s">
        <v>370</v>
      </c>
      <c r="W67" s="125">
        <v>20000</v>
      </c>
      <c r="X67" s="168">
        <v>45999</v>
      </c>
      <c r="Y67" s="125">
        <v>127241</v>
      </c>
      <c r="Z67" s="168">
        <v>46052</v>
      </c>
      <c r="AA67" s="125">
        <v>500000</v>
      </c>
      <c r="AB67" s="168">
        <v>46092</v>
      </c>
      <c r="AI67" s="165">
        <f t="shared" si="7"/>
        <v>647241</v>
      </c>
      <c r="AL67" s="125">
        <f t="shared" si="10"/>
        <v>0</v>
      </c>
      <c r="AP67" s="125">
        <f t="shared" si="9"/>
        <v>647241</v>
      </c>
      <c r="AQ67" s="166">
        <f>0.4%+0.02%+0.08%+0.03%</f>
        <v>0.0053</v>
      </c>
      <c r="BG67" s="125">
        <v>147241</v>
      </c>
      <c r="BI67" s="125">
        <v>500000</v>
      </c>
      <c r="BM67" s="125" t="s">
        <v>260</v>
      </c>
    </row>
    <row r="68" s="125" customFormat="1" hidden="1" customHeight="1" spans="1:65">
      <c r="A68" s="125">
        <v>51</v>
      </c>
      <c r="B68" s="125"/>
      <c r="C68" s="125"/>
      <c r="D68" s="125"/>
      <c r="G68" s="1037" t="s">
        <v>6060</v>
      </c>
      <c r="H68" s="125" t="s">
        <v>6061</v>
      </c>
      <c r="I68" s="1037" t="s">
        <v>6062</v>
      </c>
      <c r="J68" s="170" t="s">
        <v>6063</v>
      </c>
      <c r="K68" s="164">
        <v>126.5</v>
      </c>
      <c r="L68" s="125">
        <v>126.5</v>
      </c>
      <c r="M68" s="125">
        <v>5138.339</v>
      </c>
      <c r="N68" s="125">
        <v>650000</v>
      </c>
      <c r="O68" s="125">
        <v>5829.69</v>
      </c>
      <c r="P68" s="125" t="s">
        <v>660</v>
      </c>
      <c r="Q68" s="125"/>
      <c r="R68" s="125"/>
      <c r="S68" s="125"/>
      <c r="T68" s="168"/>
      <c r="U68" s="125"/>
      <c r="V68" s="125" t="s">
        <v>6064</v>
      </c>
      <c r="W68" s="125">
        <v>5000</v>
      </c>
      <c r="X68" s="168">
        <v>46033</v>
      </c>
      <c r="Y68" s="125"/>
      <c r="Z68" s="125"/>
      <c r="AI68" s="165">
        <f t="shared" si="7"/>
        <v>5000</v>
      </c>
      <c r="AL68" s="125">
        <f t="shared" si="10"/>
        <v>645000</v>
      </c>
      <c r="AM68" s="125">
        <v>15688306167</v>
      </c>
      <c r="AP68" s="125">
        <f t="shared" si="9"/>
        <v>0</v>
      </c>
      <c r="AQ68" s="166">
        <f>0.7%+0.02%+0.08%+0.03%</f>
        <v>0.0083</v>
      </c>
    </row>
    <row r="69" s="125" customFormat="1" hidden="1" customHeight="1" spans="1:65">
      <c r="A69" s="125">
        <v>52</v>
      </c>
      <c r="B69" s="125">
        <v>1</v>
      </c>
      <c r="C69" s="125" t="s">
        <v>6065</v>
      </c>
      <c r="D69" s="125">
        <v>20260001115</v>
      </c>
      <c r="H69" s="173" t="s">
        <v>6066</v>
      </c>
      <c r="I69" s="125"/>
      <c r="J69" s="170" t="s">
        <v>6067</v>
      </c>
      <c r="K69" s="164">
        <v>126.91</v>
      </c>
      <c r="L69" s="125">
        <v>126.91</v>
      </c>
      <c r="M69" s="125"/>
      <c r="N69" s="125">
        <v>698005</v>
      </c>
      <c r="O69" s="125">
        <v>5810.69</v>
      </c>
      <c r="P69" s="125"/>
      <c r="Q69" s="125"/>
      <c r="R69" s="125"/>
      <c r="S69" s="125">
        <f>10000+130005</f>
        <v>140005</v>
      </c>
      <c r="T69" s="168" t="s">
        <v>6068</v>
      </c>
      <c r="U69" s="125"/>
      <c r="V69" s="125" t="s">
        <v>3393</v>
      </c>
      <c r="W69" s="125">
        <v>10000</v>
      </c>
      <c r="X69" s="168">
        <v>46085</v>
      </c>
      <c r="Y69" s="125">
        <v>130005</v>
      </c>
      <c r="Z69" s="168">
        <v>46090</v>
      </c>
      <c r="AI69" s="165">
        <f t="shared" ref="AI69:AI100" si="11">W69+Y69+AA69+AC69+AE69+AG69</f>
        <v>140005</v>
      </c>
      <c r="AL69" s="125">
        <f t="shared" si="10"/>
        <v>558000</v>
      </c>
      <c r="AP69" s="125">
        <f t="shared" si="9"/>
        <v>140005</v>
      </c>
      <c r="AQ69" s="177">
        <f>0.7%+0.05%+0.14%+0.03%</f>
        <v>0.0092</v>
      </c>
      <c r="BI69" s="125">
        <v>140005</v>
      </c>
      <c r="BM69" s="125" t="s">
        <v>260</v>
      </c>
    </row>
    <row r="70" s="125" customFormat="1" hidden="1" customHeight="1" spans="1:65">
      <c r="A70" s="125">
        <v>53</v>
      </c>
      <c r="B70" s="125"/>
      <c r="C70" s="168">
        <v>45899</v>
      </c>
      <c r="D70" s="125">
        <v>20250004454</v>
      </c>
      <c r="G70" s="1037" t="s">
        <v>6069</v>
      </c>
      <c r="H70" s="173" t="s">
        <v>6070</v>
      </c>
      <c r="I70" s="1037" t="s">
        <v>6071</v>
      </c>
      <c r="J70" s="170" t="s">
        <v>6072</v>
      </c>
      <c r="K70" s="164">
        <v>126.5</v>
      </c>
      <c r="L70" s="125">
        <v>126.5</v>
      </c>
      <c r="M70" s="125">
        <v>5849.8</v>
      </c>
      <c r="N70" s="125">
        <v>740000</v>
      </c>
      <c r="O70" s="125">
        <v>5774.665</v>
      </c>
      <c r="P70" s="125"/>
      <c r="Q70" s="125"/>
      <c r="R70" s="125"/>
      <c r="S70" s="125"/>
      <c r="T70" s="168"/>
      <c r="U70" s="125"/>
      <c r="V70" s="125" t="s">
        <v>267</v>
      </c>
      <c r="W70" s="125">
        <v>20000</v>
      </c>
      <c r="X70" s="168" t="s">
        <v>5990</v>
      </c>
      <c r="Y70" s="125">
        <v>378000</v>
      </c>
      <c r="Z70" s="168">
        <v>45930</v>
      </c>
      <c r="AA70" s="125">
        <v>342000</v>
      </c>
      <c r="AB70" s="168">
        <v>45940</v>
      </c>
      <c r="AI70" s="165">
        <f t="shared" si="11"/>
        <v>740000</v>
      </c>
      <c r="AL70" s="125">
        <f t="shared" si="10"/>
        <v>0</v>
      </c>
      <c r="AM70" s="125">
        <v>18935756209</v>
      </c>
      <c r="AN70" s="125" t="s">
        <v>5985</v>
      </c>
      <c r="AP70" s="125">
        <f t="shared" si="9"/>
        <v>740000</v>
      </c>
      <c r="AQ70" s="177">
        <f>0.6%+0.08%+0.03%</f>
        <v>0.0071</v>
      </c>
      <c r="BD70" s="125">
        <v>740000</v>
      </c>
      <c r="BM70" s="125" t="s">
        <v>2707</v>
      </c>
    </row>
    <row r="71" s="125" customFormat="1" hidden="1" customHeight="1" spans="1:65">
      <c r="A71" s="125">
        <v>54</v>
      </c>
      <c r="B71" s="125"/>
      <c r="C71" s="168">
        <v>46055</v>
      </c>
      <c r="D71" s="125">
        <v>20260000591</v>
      </c>
      <c r="G71" s="1037" t="s">
        <v>6073</v>
      </c>
      <c r="H71" s="173" t="s">
        <v>6074</v>
      </c>
      <c r="I71" s="1037" t="s">
        <v>6075</v>
      </c>
      <c r="J71" s="163" t="s">
        <v>6076</v>
      </c>
      <c r="K71" s="164">
        <v>126.91</v>
      </c>
      <c r="L71" s="125">
        <v>126.91</v>
      </c>
      <c r="M71" s="125">
        <v>5247.81</v>
      </c>
      <c r="N71" s="125">
        <v>666000</v>
      </c>
      <c r="O71" s="125">
        <f>5530.69-300</f>
        <v>5230.69</v>
      </c>
      <c r="S71" s="125">
        <v>566000</v>
      </c>
      <c r="T71" s="168">
        <v>46106</v>
      </c>
      <c r="U71" s="125"/>
      <c r="V71" s="125" t="s">
        <v>5786</v>
      </c>
      <c r="W71" s="125">
        <v>10000</v>
      </c>
      <c r="X71" s="168">
        <v>46047</v>
      </c>
      <c r="Y71" s="125">
        <v>90000</v>
      </c>
      <c r="Z71" s="168">
        <v>46055</v>
      </c>
      <c r="AA71" s="125">
        <v>566000</v>
      </c>
      <c r="AB71" s="168">
        <v>46106</v>
      </c>
      <c r="AI71" s="165">
        <f t="shared" si="11"/>
        <v>666000</v>
      </c>
      <c r="AL71" s="125">
        <f t="shared" si="10"/>
        <v>0</v>
      </c>
      <c r="AM71" s="125">
        <v>18935757826</v>
      </c>
      <c r="AN71" s="125" t="s">
        <v>3362</v>
      </c>
      <c r="AP71" s="125">
        <f t="shared" si="9"/>
        <v>666000</v>
      </c>
      <c r="AQ71" s="177">
        <f>0.7%+0.03%+0.08%+0.03%</f>
        <v>0.0084</v>
      </c>
      <c r="BH71" s="125">
        <v>100000</v>
      </c>
      <c r="BI71" s="125">
        <v>566000</v>
      </c>
      <c r="BM71" s="125" t="s">
        <v>260</v>
      </c>
    </row>
    <row r="72" s="125" customFormat="1" hidden="1" customHeight="1" spans="1:65">
      <c r="A72" s="125">
        <v>55</v>
      </c>
      <c r="B72" s="125"/>
      <c r="C72" s="168">
        <v>45745</v>
      </c>
      <c r="D72" s="125">
        <v>20250001705</v>
      </c>
      <c r="G72" s="1037" t="s">
        <v>6077</v>
      </c>
      <c r="H72" s="173" t="s">
        <v>6078</v>
      </c>
      <c r="I72" s="1037" t="s">
        <v>6079</v>
      </c>
      <c r="J72" s="170" t="s">
        <v>6080</v>
      </c>
      <c r="K72" s="164">
        <v>126.5</v>
      </c>
      <c r="L72" s="125">
        <v>126.5</v>
      </c>
      <c r="M72" s="125">
        <v>5650</v>
      </c>
      <c r="N72" s="125">
        <v>714725</v>
      </c>
      <c r="O72" s="125">
        <v>5650</v>
      </c>
      <c r="P72" s="125"/>
      <c r="Q72" s="125"/>
      <c r="R72" s="125"/>
      <c r="S72" s="125"/>
      <c r="T72" s="125"/>
      <c r="U72" s="125"/>
      <c r="V72" s="125" t="s">
        <v>656</v>
      </c>
      <c r="W72" s="125">
        <v>20000</v>
      </c>
      <c r="X72" s="125" t="s">
        <v>5673</v>
      </c>
      <c r="Y72" s="125">
        <f>150000+44725</f>
        <v>194725</v>
      </c>
      <c r="Z72" s="125" t="s">
        <v>3549</v>
      </c>
      <c r="AA72" s="125">
        <v>500000</v>
      </c>
      <c r="AB72" s="125" t="s">
        <v>3508</v>
      </c>
      <c r="AI72" s="165">
        <f t="shared" si="11"/>
        <v>714725</v>
      </c>
      <c r="AL72" s="125">
        <f t="shared" ref="AL72:AL83" si="12">N72-AI72</f>
        <v>0</v>
      </c>
      <c r="AM72" s="125">
        <v>15809960239</v>
      </c>
      <c r="AN72" s="125" t="s">
        <v>3362</v>
      </c>
      <c r="AP72" s="165">
        <f t="shared" si="9"/>
        <v>714725</v>
      </c>
      <c r="AQ72" s="177">
        <f t="shared" ref="AQ72:AQ76" si="13">0.7%+0.02%+0.08%+0.03%</f>
        <v>0.0083</v>
      </c>
      <c r="AW72" s="125">
        <v>214725</v>
      </c>
      <c r="AZ72" s="125">
        <v>500000</v>
      </c>
      <c r="BM72" s="125" t="s">
        <v>260</v>
      </c>
    </row>
    <row r="73" s="125" customFormat="1" hidden="1" customHeight="1" spans="1:65">
      <c r="A73" s="125">
        <v>56</v>
      </c>
      <c r="B73" s="125"/>
      <c r="C73" s="168">
        <v>45966</v>
      </c>
      <c r="D73" s="125">
        <v>20250005672</v>
      </c>
      <c r="G73" s="1037" t="s">
        <v>6081</v>
      </c>
      <c r="H73" s="125" t="s">
        <v>6082</v>
      </c>
      <c r="I73" s="1037" t="s">
        <v>6083</v>
      </c>
      <c r="J73" s="163" t="s">
        <v>6084</v>
      </c>
      <c r="K73" s="164">
        <v>126.91</v>
      </c>
      <c r="L73" s="125">
        <v>126.91</v>
      </c>
      <c r="M73" s="125">
        <v>5295.69</v>
      </c>
      <c r="N73" s="125">
        <v>672076</v>
      </c>
      <c r="O73" s="125">
        <f>5595.69-300</f>
        <v>5295.69</v>
      </c>
      <c r="T73" s="168"/>
      <c r="U73" s="125"/>
      <c r="V73" s="125" t="s">
        <v>690</v>
      </c>
      <c r="W73" s="125">
        <v>11076</v>
      </c>
      <c r="X73" s="168">
        <v>45964</v>
      </c>
      <c r="Y73" s="125">
        <v>124000</v>
      </c>
      <c r="Z73" s="168">
        <v>45979</v>
      </c>
      <c r="AA73" s="125">
        <v>537000</v>
      </c>
      <c r="AB73" s="168">
        <v>45995</v>
      </c>
      <c r="AI73" s="165">
        <f t="shared" si="11"/>
        <v>672076</v>
      </c>
      <c r="AL73" s="125">
        <f t="shared" si="12"/>
        <v>0</v>
      </c>
      <c r="AM73" s="125">
        <v>1899352850</v>
      </c>
      <c r="AN73" s="125" t="s">
        <v>3362</v>
      </c>
      <c r="AP73" s="125">
        <f t="shared" si="9"/>
        <v>672076</v>
      </c>
      <c r="AQ73" s="177">
        <f>0.7%+0.08%+0.03%</f>
        <v>0.0081</v>
      </c>
      <c r="BE73" s="125">
        <v>135076</v>
      </c>
      <c r="BF73" s="125">
        <v>537000</v>
      </c>
      <c r="BM73" s="125" t="s">
        <v>3258</v>
      </c>
    </row>
    <row r="74" s="125" customFormat="1" hidden="1" customHeight="1" spans="1:65">
      <c r="A74" s="125">
        <v>57</v>
      </c>
      <c r="B74" s="125"/>
      <c r="C74" s="168">
        <v>45935</v>
      </c>
      <c r="D74" s="125">
        <v>20250005097</v>
      </c>
      <c r="G74" s="1037" t="s">
        <v>6085</v>
      </c>
      <c r="H74" s="173" t="s">
        <v>6086</v>
      </c>
      <c r="I74" s="1037" t="s">
        <v>6087</v>
      </c>
      <c r="J74" s="170" t="s">
        <v>6088</v>
      </c>
      <c r="K74" s="164">
        <v>126.5</v>
      </c>
      <c r="L74" s="125">
        <v>126.5</v>
      </c>
      <c r="M74" s="125">
        <v>5370</v>
      </c>
      <c r="N74" s="125">
        <v>679305</v>
      </c>
      <c r="O74" s="125">
        <f>5659.69-300</f>
        <v>5359.69</v>
      </c>
      <c r="T74" s="168"/>
      <c r="U74" s="125"/>
      <c r="V74" s="125" t="s">
        <v>6089</v>
      </c>
      <c r="W74" s="125">
        <f>20000+116305</f>
        <v>136305</v>
      </c>
      <c r="X74" s="168" t="s">
        <v>6090</v>
      </c>
      <c r="Y74" s="125">
        <v>543000</v>
      </c>
      <c r="Z74" s="168">
        <v>45975</v>
      </c>
      <c r="AA74" s="125"/>
      <c r="AB74" s="125"/>
      <c r="AC74" s="125"/>
      <c r="AD74" s="125"/>
      <c r="AE74" s="125"/>
      <c r="AF74" s="125"/>
      <c r="AG74" s="125"/>
      <c r="AH74" s="125"/>
      <c r="AI74" s="165">
        <f t="shared" si="11"/>
        <v>679305</v>
      </c>
      <c r="AL74" s="125">
        <f t="shared" si="12"/>
        <v>0</v>
      </c>
      <c r="AN74" s="125" t="s">
        <v>5949</v>
      </c>
      <c r="AO74" s="125"/>
      <c r="AP74" s="125">
        <f t="shared" si="9"/>
        <v>679305</v>
      </c>
      <c r="AQ74" s="177">
        <f t="shared" si="13"/>
        <v>0.0083</v>
      </c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D74" s="125">
        <v>136305</v>
      </c>
      <c r="BE74" s="125">
        <v>543000</v>
      </c>
      <c r="BM74" s="125" t="s">
        <v>3258</v>
      </c>
    </row>
    <row r="75" s="125" customFormat="1" hidden="1" customHeight="1" spans="1:65">
      <c r="A75" s="125">
        <v>58</v>
      </c>
      <c r="B75" s="125"/>
      <c r="C75" s="168">
        <v>45778</v>
      </c>
      <c r="D75" s="125">
        <v>20250002311</v>
      </c>
      <c r="G75" s="1037" t="s">
        <v>6091</v>
      </c>
      <c r="H75" s="173" t="s">
        <v>6092</v>
      </c>
      <c r="I75" s="1037" t="s">
        <v>4974</v>
      </c>
      <c r="J75" s="163" t="s">
        <v>6093</v>
      </c>
      <c r="K75" s="164">
        <v>126.91</v>
      </c>
      <c r="L75" s="125">
        <v>126.91</v>
      </c>
      <c r="M75" s="125">
        <v>5909.7</v>
      </c>
      <c r="N75" s="125">
        <v>750000</v>
      </c>
      <c r="O75" s="125">
        <v>5909.7</v>
      </c>
      <c r="P75" s="125"/>
      <c r="Q75" s="125"/>
      <c r="R75" s="125"/>
      <c r="S75" s="125"/>
      <c r="T75" s="125"/>
      <c r="U75" s="125"/>
      <c r="V75" s="125" t="s">
        <v>267</v>
      </c>
      <c r="W75" s="125">
        <v>20000</v>
      </c>
      <c r="X75" s="125" t="s">
        <v>6094</v>
      </c>
      <c r="Y75" s="125">
        <v>180000</v>
      </c>
      <c r="Z75" s="125" t="s">
        <v>4127</v>
      </c>
      <c r="AA75" s="125">
        <v>50000</v>
      </c>
      <c r="AB75" s="125" t="s">
        <v>1028</v>
      </c>
      <c r="AC75" s="125">
        <v>500000</v>
      </c>
      <c r="AD75" s="125" t="s">
        <v>4870</v>
      </c>
      <c r="AI75" s="165">
        <f t="shared" si="11"/>
        <v>750000</v>
      </c>
      <c r="AL75" s="125">
        <f t="shared" si="12"/>
        <v>0</v>
      </c>
      <c r="AM75" s="125">
        <v>18609043527</v>
      </c>
      <c r="AN75" s="125" t="s">
        <v>3284</v>
      </c>
      <c r="AP75" s="165">
        <f t="shared" si="9"/>
        <v>750000</v>
      </c>
      <c r="AQ75" s="177">
        <f>0.7%+0.08%+0.03%</f>
        <v>0.0081</v>
      </c>
      <c r="AY75" s="125">
        <v>250000</v>
      </c>
      <c r="AZ75" s="125">
        <v>500000</v>
      </c>
      <c r="BM75" s="125" t="s">
        <v>260</v>
      </c>
    </row>
    <row r="76" s="125" customFormat="1" hidden="1" customHeight="1" spans="1:65">
      <c r="A76" s="125">
        <v>59</v>
      </c>
      <c r="B76" s="125"/>
      <c r="C76" s="179">
        <v>45931</v>
      </c>
      <c r="D76" s="125">
        <v>20250004944</v>
      </c>
      <c r="G76" s="1037" t="s">
        <v>6095</v>
      </c>
      <c r="H76" s="173" t="s">
        <v>6096</v>
      </c>
      <c r="I76" s="125"/>
      <c r="J76" s="170" t="s">
        <v>6097</v>
      </c>
      <c r="K76" s="164">
        <v>126.5</v>
      </c>
      <c r="L76" s="125">
        <v>126.5</v>
      </c>
      <c r="M76" s="125">
        <v>5675.49</v>
      </c>
      <c r="N76" s="125">
        <v>717950</v>
      </c>
      <c r="O76" s="125">
        <v>5675.49</v>
      </c>
      <c r="P76" s="125"/>
      <c r="Q76" s="125"/>
      <c r="R76" s="125"/>
      <c r="S76" s="125"/>
      <c r="T76" s="168"/>
      <c r="U76" s="125"/>
      <c r="V76" s="125" t="s">
        <v>6089</v>
      </c>
      <c r="W76" s="125">
        <v>247950</v>
      </c>
      <c r="X76" s="168">
        <v>45931</v>
      </c>
      <c r="Y76" s="125">
        <v>470000</v>
      </c>
      <c r="Z76" s="168">
        <v>45975</v>
      </c>
      <c r="AA76" s="125"/>
      <c r="AB76" s="125"/>
      <c r="AC76" s="125"/>
      <c r="AD76" s="125"/>
      <c r="AE76" s="125"/>
      <c r="AF76" s="125"/>
      <c r="AG76" s="125"/>
      <c r="AH76" s="125"/>
      <c r="AI76" s="165">
        <f t="shared" si="11"/>
        <v>717950</v>
      </c>
      <c r="AL76" s="125">
        <f t="shared" si="12"/>
        <v>0</v>
      </c>
      <c r="AM76" s="125">
        <v>13654552751</v>
      </c>
      <c r="AN76" s="125" t="s">
        <v>3284</v>
      </c>
      <c r="AO76" s="125"/>
      <c r="AP76" s="125">
        <f t="shared" si="9"/>
        <v>717950</v>
      </c>
      <c r="AQ76" s="177">
        <f t="shared" si="13"/>
        <v>0.0083</v>
      </c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D76" s="125">
        <v>247950</v>
      </c>
      <c r="BE76" s="125">
        <v>470000</v>
      </c>
      <c r="BM76" s="125" t="s">
        <v>3258</v>
      </c>
    </row>
    <row r="77" s="154" customFormat="1" hidden="1" customHeight="1" spans="1:65">
      <c r="A77" s="154">
        <v>60</v>
      </c>
      <c r="B77" s="154"/>
      <c r="C77" s="179">
        <v>46053</v>
      </c>
      <c r="D77" s="154">
        <v>20260000520</v>
      </c>
      <c r="G77" s="1043" t="s">
        <v>6098</v>
      </c>
      <c r="H77" s="180" t="s">
        <v>6099</v>
      </c>
      <c r="I77" s="154"/>
      <c r="J77" s="181" t="s">
        <v>6100</v>
      </c>
      <c r="K77" s="182">
        <v>126.91</v>
      </c>
      <c r="L77" s="154">
        <v>126.91</v>
      </c>
      <c r="M77" s="154">
        <v>5421.16</v>
      </c>
      <c r="N77" s="154">
        <v>688000</v>
      </c>
      <c r="O77" s="154">
        <f>5665.69-300</f>
        <v>5365.69</v>
      </c>
      <c r="P77" s="125"/>
      <c r="Q77" s="154"/>
      <c r="R77" s="154"/>
      <c r="S77" s="154"/>
      <c r="T77" s="179"/>
      <c r="U77" s="154"/>
      <c r="V77" s="154" t="s">
        <v>3404</v>
      </c>
      <c r="W77" s="154">
        <v>20000</v>
      </c>
      <c r="X77" s="179">
        <v>45958</v>
      </c>
      <c r="Y77" s="154">
        <v>118000</v>
      </c>
      <c r="Z77" s="179">
        <v>46055</v>
      </c>
      <c r="AA77" s="154">
        <v>550000</v>
      </c>
      <c r="AB77" s="179">
        <v>46079</v>
      </c>
      <c r="AI77" s="183">
        <f t="shared" si="11"/>
        <v>688000</v>
      </c>
      <c r="AL77" s="154">
        <f t="shared" si="12"/>
        <v>0</v>
      </c>
      <c r="AN77" s="125" t="s">
        <v>3362</v>
      </c>
      <c r="AP77" s="154">
        <f t="shared" si="9"/>
        <v>688000</v>
      </c>
      <c r="AQ77" s="177">
        <f>0.7%+0.08%+0.03%</f>
        <v>0.0081</v>
      </c>
      <c r="BH77" s="154">
        <v>688000</v>
      </c>
      <c r="BK77" s="125"/>
      <c r="BM77" s="125" t="s">
        <v>260</v>
      </c>
    </row>
    <row r="78" s="125" customFormat="1" hidden="1" customHeight="1" spans="1:65">
      <c r="A78" s="125">
        <v>61</v>
      </c>
      <c r="B78" s="125"/>
      <c r="C78" s="168">
        <v>45933</v>
      </c>
      <c r="D78" s="125">
        <v>20250005024</v>
      </c>
      <c r="G78" s="1037" t="s">
        <v>6101</v>
      </c>
      <c r="H78" s="173" t="s">
        <v>6102</v>
      </c>
      <c r="I78" s="125"/>
      <c r="J78" s="170" t="s">
        <v>6103</v>
      </c>
      <c r="K78" s="164">
        <v>126.5</v>
      </c>
      <c r="L78" s="125">
        <v>126.5</v>
      </c>
      <c r="M78" s="125">
        <v>5420</v>
      </c>
      <c r="N78" s="125">
        <v>685630</v>
      </c>
      <c r="O78" s="125">
        <f>5709.69-300</f>
        <v>5409.69</v>
      </c>
      <c r="T78" s="168"/>
      <c r="U78" s="125"/>
      <c r="V78" s="125" t="s">
        <v>3393</v>
      </c>
      <c r="W78" s="125">
        <v>51630</v>
      </c>
      <c r="X78" s="168">
        <v>45933</v>
      </c>
      <c r="Y78" s="125">
        <v>86000</v>
      </c>
      <c r="Z78" s="168">
        <v>45965</v>
      </c>
      <c r="AA78" s="125">
        <v>548000</v>
      </c>
      <c r="AB78" s="168">
        <v>46027</v>
      </c>
      <c r="AC78" s="125"/>
      <c r="AD78" s="125"/>
      <c r="AE78" s="125"/>
      <c r="AF78" s="125"/>
      <c r="AG78" s="125"/>
      <c r="AH78" s="125"/>
      <c r="AI78" s="165">
        <f t="shared" si="11"/>
        <v>685630</v>
      </c>
      <c r="AL78" s="125">
        <f t="shared" si="12"/>
        <v>0</v>
      </c>
      <c r="AN78" s="125" t="s">
        <v>3362</v>
      </c>
      <c r="AP78" s="125">
        <f t="shared" si="9"/>
        <v>685630</v>
      </c>
      <c r="AQ78" s="177">
        <f>0.7%+0.03%+0.08%+0.03%</f>
        <v>0.0084</v>
      </c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E78" s="125">
        <v>137630</v>
      </c>
      <c r="BG78" s="125">
        <v>548000</v>
      </c>
      <c r="BM78" s="125" t="s">
        <v>3258</v>
      </c>
    </row>
    <row r="79" s="125" customFormat="1" hidden="1" customHeight="1" spans="1:65">
      <c r="A79" s="125">
        <v>62</v>
      </c>
      <c r="B79" s="125"/>
      <c r="C79" s="168">
        <v>45933</v>
      </c>
      <c r="D79" s="125">
        <v>20250005016</v>
      </c>
      <c r="G79" s="1037" t="s">
        <v>6104</v>
      </c>
      <c r="H79" s="173" t="s">
        <v>6105</v>
      </c>
      <c r="I79" s="125"/>
      <c r="J79" s="163" t="s">
        <v>6106</v>
      </c>
      <c r="K79" s="164">
        <v>126.91</v>
      </c>
      <c r="L79" s="125">
        <v>126.91</v>
      </c>
      <c r="M79" s="125">
        <v>5397.53</v>
      </c>
      <c r="N79" s="125">
        <v>685000</v>
      </c>
      <c r="O79" s="125">
        <f>5690.69-300</f>
        <v>5390.69</v>
      </c>
      <c r="T79" s="168"/>
      <c r="U79" s="125"/>
      <c r="V79" s="125" t="s">
        <v>5948</v>
      </c>
      <c r="W79" s="125">
        <v>10000</v>
      </c>
      <c r="X79" s="168">
        <v>45923</v>
      </c>
      <c r="Y79" s="125">
        <v>365000</v>
      </c>
      <c r="Z79" s="168">
        <v>45933</v>
      </c>
      <c r="AA79" s="125">
        <v>60000</v>
      </c>
      <c r="AB79" s="168">
        <v>45960</v>
      </c>
      <c r="AC79" s="125">
        <v>250000</v>
      </c>
      <c r="AD79" s="168">
        <v>45975</v>
      </c>
      <c r="AE79" s="125"/>
      <c r="AF79" s="125"/>
      <c r="AG79" s="125"/>
      <c r="AH79" s="125"/>
      <c r="AI79" s="165">
        <f t="shared" si="11"/>
        <v>685000</v>
      </c>
      <c r="AL79" s="125">
        <f t="shared" si="12"/>
        <v>0</v>
      </c>
      <c r="AM79" s="125">
        <v>18293209746</v>
      </c>
      <c r="AN79" s="125" t="s">
        <v>3362</v>
      </c>
      <c r="AO79" s="125"/>
      <c r="AP79" s="125">
        <f t="shared" si="9"/>
        <v>685000</v>
      </c>
      <c r="AQ79" s="177">
        <f>0.7%+0.03%+0.08%+0.03%</f>
        <v>0.0084</v>
      </c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D79" s="125">
        <v>375000</v>
      </c>
      <c r="BE79" s="125">
        <v>310000</v>
      </c>
      <c r="BM79" s="125" t="s">
        <v>3258</v>
      </c>
    </row>
    <row r="80" s="125" customFormat="1" hidden="1" customHeight="1" spans="1:65">
      <c r="A80" s="125">
        <v>63</v>
      </c>
      <c r="B80" s="125"/>
      <c r="C80" s="168">
        <v>45957</v>
      </c>
      <c r="D80" s="125">
        <v>20250005507</v>
      </c>
      <c r="G80" s="1037" t="s">
        <v>6107</v>
      </c>
      <c r="H80" s="173" t="s">
        <v>6108</v>
      </c>
      <c r="I80" s="1037" t="s">
        <v>6109</v>
      </c>
      <c r="J80" s="170" t="s">
        <v>6110</v>
      </c>
      <c r="K80" s="164">
        <v>126.5</v>
      </c>
      <c r="L80" s="125">
        <v>126.5</v>
      </c>
      <c r="M80" s="125">
        <v>5440</v>
      </c>
      <c r="N80" s="125">
        <v>688160</v>
      </c>
      <c r="O80" s="125">
        <f>5729.69-300</f>
        <v>5429.69</v>
      </c>
      <c r="T80" s="168"/>
      <c r="U80" s="125"/>
      <c r="V80" s="125" t="s">
        <v>6089</v>
      </c>
      <c r="W80" s="125">
        <v>10000</v>
      </c>
      <c r="X80" s="168">
        <v>45937</v>
      </c>
      <c r="Y80" s="125">
        <v>58160</v>
      </c>
      <c r="Z80" s="168">
        <v>45956</v>
      </c>
      <c r="AA80" s="125">
        <v>50000</v>
      </c>
      <c r="AB80" s="168">
        <v>45957</v>
      </c>
      <c r="AC80" s="125">
        <v>20000</v>
      </c>
      <c r="AD80" s="168">
        <v>45981</v>
      </c>
      <c r="AE80" s="125">
        <v>550000</v>
      </c>
      <c r="AF80" s="168">
        <v>45995</v>
      </c>
      <c r="AG80" s="125"/>
      <c r="AH80" s="125"/>
      <c r="AI80" s="165">
        <f t="shared" si="11"/>
        <v>688160</v>
      </c>
      <c r="AL80" s="125">
        <f t="shared" si="12"/>
        <v>0</v>
      </c>
      <c r="AM80" s="125">
        <v>13999022848</v>
      </c>
      <c r="AN80" s="125" t="s">
        <v>3362</v>
      </c>
      <c r="AO80" s="125"/>
      <c r="AP80" s="125">
        <f t="shared" si="9"/>
        <v>668160</v>
      </c>
      <c r="AQ80" s="177">
        <f>0.7%+0.02%+0.08%+0.03%</f>
        <v>0.0083</v>
      </c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D80" s="125">
        <v>118160</v>
      </c>
      <c r="BF80" s="125">
        <v>550000</v>
      </c>
      <c r="BM80" s="125" t="s">
        <v>3258</v>
      </c>
    </row>
    <row r="81" s="125" customFormat="1" hidden="1" customHeight="1" spans="1:65">
      <c r="A81" s="125">
        <v>64</v>
      </c>
      <c r="B81" s="125"/>
      <c r="C81" s="168">
        <v>45965</v>
      </c>
      <c r="D81" s="125">
        <v>20250005655</v>
      </c>
      <c r="G81" s="1037" t="s">
        <v>6111</v>
      </c>
      <c r="H81" s="125" t="s">
        <v>6112</v>
      </c>
      <c r="I81" s="1037" t="s">
        <v>6113</v>
      </c>
      <c r="J81" s="163" t="s">
        <v>6114</v>
      </c>
      <c r="K81" s="164">
        <v>126.91</v>
      </c>
      <c r="L81" s="125">
        <v>126.91</v>
      </c>
      <c r="M81" s="125">
        <v>5515.72</v>
      </c>
      <c r="N81" s="125">
        <v>700000</v>
      </c>
      <c r="O81" s="125">
        <f>5710.69-300</f>
        <v>5410.69</v>
      </c>
      <c r="T81" s="168"/>
      <c r="U81" s="125"/>
      <c r="V81" s="125" t="s">
        <v>5786</v>
      </c>
      <c r="W81" s="125">
        <v>20000</v>
      </c>
      <c r="X81" s="168">
        <v>45963</v>
      </c>
      <c r="Y81" s="125">
        <v>180000</v>
      </c>
      <c r="Z81" s="168">
        <v>45965</v>
      </c>
      <c r="AA81" s="125">
        <v>500000</v>
      </c>
      <c r="AB81" s="168">
        <v>46002</v>
      </c>
      <c r="AI81" s="165">
        <f t="shared" si="11"/>
        <v>700000</v>
      </c>
      <c r="AL81" s="125">
        <f t="shared" si="12"/>
        <v>0</v>
      </c>
      <c r="AM81" s="125">
        <v>15739399271</v>
      </c>
      <c r="AN81" s="125" t="s">
        <v>3362</v>
      </c>
      <c r="AP81" s="125">
        <f t="shared" si="9"/>
        <v>700000</v>
      </c>
      <c r="AQ81" s="177">
        <f>0.7%+0.03%+0.08%+0.03%</f>
        <v>0.0084</v>
      </c>
      <c r="BE81" s="125">
        <v>200000</v>
      </c>
      <c r="BF81" s="125">
        <v>500000</v>
      </c>
      <c r="BM81" s="125" t="s">
        <v>3258</v>
      </c>
    </row>
    <row r="82" s="107" customFormat="1" hidden="1" customHeight="1" spans="1:65">
      <c r="A82" s="107">
        <v>65</v>
      </c>
      <c r="B82" s="107"/>
      <c r="C82" s="107"/>
      <c r="D82" s="107"/>
      <c r="J82" s="167" t="s">
        <v>6115</v>
      </c>
      <c r="K82" s="162">
        <v>126.5</v>
      </c>
      <c r="L82" s="107"/>
      <c r="M82" s="107"/>
      <c r="N82" s="107"/>
      <c r="O82" s="107">
        <v>7089.31</v>
      </c>
      <c r="P82" s="107"/>
      <c r="Q82" s="107"/>
      <c r="R82" s="107"/>
      <c r="S82" s="107"/>
      <c r="T82" s="107"/>
      <c r="U82" s="107"/>
      <c r="V82" s="125"/>
      <c r="W82" s="107"/>
      <c r="X82" s="107"/>
      <c r="Y82" s="107"/>
      <c r="Z82" s="107"/>
      <c r="AI82" s="156">
        <f t="shared" si="11"/>
        <v>0</v>
      </c>
      <c r="AL82" s="125">
        <f t="shared" si="12"/>
        <v>0</v>
      </c>
      <c r="AP82" s="101">
        <f t="shared" si="9"/>
        <v>0</v>
      </c>
      <c r="AQ82" s="177"/>
    </row>
    <row r="83" s="125" customFormat="1" hidden="1" customHeight="1" spans="1:65">
      <c r="A83" s="125">
        <v>66</v>
      </c>
      <c r="B83" s="125"/>
      <c r="C83" s="168">
        <v>45994</v>
      </c>
      <c r="D83" s="125">
        <v>20250006183</v>
      </c>
      <c r="G83" s="1037" t="s">
        <v>6116</v>
      </c>
      <c r="H83" s="173" t="s">
        <v>6117</v>
      </c>
      <c r="I83" s="125"/>
      <c r="J83" s="163" t="s">
        <v>6118</v>
      </c>
      <c r="K83" s="164">
        <v>126.91</v>
      </c>
      <c r="L83" s="125">
        <v>126.91</v>
      </c>
      <c r="M83" s="125">
        <f>N83/L83</f>
        <v>6200</v>
      </c>
      <c r="N83" s="125">
        <v>786842</v>
      </c>
      <c r="O83" s="125">
        <v>6200</v>
      </c>
      <c r="P83" s="125"/>
      <c r="Q83" s="125"/>
      <c r="R83" s="125"/>
      <c r="S83" s="125"/>
      <c r="T83" s="168"/>
      <c r="U83" s="125"/>
      <c r="V83" s="125" t="s">
        <v>690</v>
      </c>
      <c r="W83" s="125">
        <v>118842</v>
      </c>
      <c r="X83" s="168">
        <v>45994</v>
      </c>
      <c r="Y83" s="125">
        <v>668000</v>
      </c>
      <c r="Z83" s="168">
        <v>46010</v>
      </c>
      <c r="AI83" s="165">
        <f t="shared" si="11"/>
        <v>786842</v>
      </c>
      <c r="AL83" s="125">
        <f t="shared" si="12"/>
        <v>0</v>
      </c>
      <c r="AP83" s="125">
        <f t="shared" si="9"/>
        <v>786842</v>
      </c>
      <c r="AQ83" s="177">
        <f>0.6%+0.08%+0.03%</f>
        <v>0.0071</v>
      </c>
      <c r="BF83" s="125">
        <v>786842</v>
      </c>
      <c r="BM83" s="125" t="s">
        <v>3258</v>
      </c>
    </row>
    <row r="84" s="107" customFormat="1" hidden="1" customHeight="1" spans="1:65">
      <c r="J84" s="161" t="s">
        <v>6119</v>
      </c>
      <c r="K84" s="162">
        <v>78.68</v>
      </c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25"/>
      <c r="W84" s="107"/>
      <c r="X84" s="107"/>
      <c r="Y84" s="107"/>
      <c r="Z84" s="107"/>
      <c r="AI84" s="156">
        <f t="shared" si="11"/>
        <v>0</v>
      </c>
      <c r="AP84" s="101">
        <f t="shared" si="9"/>
        <v>0</v>
      </c>
      <c r="AQ84" s="177"/>
    </row>
    <row r="85" s="107" customFormat="1" hidden="1" customHeight="1" spans="1:65">
      <c r="J85" s="161" t="s">
        <v>6120</v>
      </c>
      <c r="K85" s="162">
        <v>78.15</v>
      </c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25"/>
      <c r="W85" s="107"/>
      <c r="X85" s="107"/>
      <c r="Y85" s="107"/>
      <c r="Z85" s="107"/>
      <c r="AI85" s="156">
        <f t="shared" si="11"/>
        <v>0</v>
      </c>
      <c r="AP85" s="101">
        <f t="shared" si="9"/>
        <v>0</v>
      </c>
      <c r="AQ85" s="177"/>
    </row>
    <row r="86" s="107" customFormat="1" hidden="1" customHeight="1" spans="1:65">
      <c r="J86" s="161" t="s">
        <v>6121</v>
      </c>
      <c r="K86" s="162">
        <v>78.15</v>
      </c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25"/>
      <c r="W86" s="107"/>
      <c r="X86" s="107"/>
      <c r="Y86" s="107"/>
      <c r="Z86" s="107"/>
      <c r="AI86" s="156">
        <f t="shared" si="11"/>
        <v>0</v>
      </c>
      <c r="AP86" s="101">
        <f t="shared" si="9"/>
        <v>0</v>
      </c>
      <c r="AQ86" s="177"/>
    </row>
    <row r="87" s="107" customFormat="1" hidden="1" customHeight="1" spans="1:65">
      <c r="J87" s="161" t="s">
        <v>6122</v>
      </c>
      <c r="K87" s="162">
        <v>78.52</v>
      </c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25"/>
      <c r="W87" s="107"/>
      <c r="X87" s="107"/>
      <c r="Y87" s="107"/>
      <c r="Z87" s="107"/>
      <c r="AI87" s="156">
        <f t="shared" si="11"/>
        <v>0</v>
      </c>
      <c r="AP87" s="101">
        <f t="shared" si="9"/>
        <v>0</v>
      </c>
      <c r="AQ87" s="177"/>
    </row>
    <row r="88" s="107" customFormat="1" hidden="1" customHeight="1" spans="1:65">
      <c r="J88" s="161" t="s">
        <v>6123</v>
      </c>
      <c r="K88" s="162">
        <v>104.31</v>
      </c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25"/>
      <c r="W88" s="107"/>
      <c r="X88" s="107"/>
      <c r="Y88" s="107"/>
      <c r="Z88" s="107"/>
      <c r="AI88" s="156">
        <f t="shared" si="11"/>
        <v>0</v>
      </c>
      <c r="AP88" s="101">
        <f t="shared" si="9"/>
        <v>0</v>
      </c>
      <c r="AQ88" s="177"/>
    </row>
    <row r="89" s="107" customFormat="1" hidden="1" customHeight="1" spans="1:65">
      <c r="J89" s="161" t="s">
        <v>6124</v>
      </c>
      <c r="K89" s="162">
        <v>85.91</v>
      </c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25"/>
      <c r="W89" s="107"/>
      <c r="X89" s="107"/>
      <c r="Y89" s="107"/>
      <c r="Z89" s="107"/>
      <c r="AI89" s="156">
        <f t="shared" si="11"/>
        <v>0</v>
      </c>
      <c r="AP89" s="101">
        <f t="shared" si="9"/>
        <v>0</v>
      </c>
      <c r="AQ89" s="177"/>
    </row>
    <row r="90" s="107" customFormat="1" hidden="1" customHeight="1" spans="1:65">
      <c r="J90" s="161" t="s">
        <v>6125</v>
      </c>
      <c r="K90" s="162">
        <v>21.19</v>
      </c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25"/>
      <c r="W90" s="107"/>
      <c r="X90" s="107"/>
      <c r="Y90" s="107"/>
      <c r="Z90" s="107"/>
      <c r="AI90" s="156">
        <f t="shared" si="11"/>
        <v>0</v>
      </c>
      <c r="AP90" s="101">
        <f t="shared" si="9"/>
        <v>0</v>
      </c>
      <c r="AQ90" s="177"/>
    </row>
    <row r="91" s="107" customFormat="1" hidden="1" customHeight="1" spans="1:65">
      <c r="J91" s="161" t="s">
        <v>6126</v>
      </c>
      <c r="K91" s="162">
        <v>15.97</v>
      </c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25"/>
      <c r="W91" s="107"/>
      <c r="X91" s="107"/>
      <c r="Y91" s="107"/>
      <c r="Z91" s="107"/>
      <c r="AI91" s="156">
        <f t="shared" si="11"/>
        <v>0</v>
      </c>
      <c r="AP91" s="101">
        <f t="shared" si="9"/>
        <v>0</v>
      </c>
      <c r="AQ91" s="177"/>
    </row>
    <row r="92" s="107" customFormat="1" hidden="1" customHeight="1" spans="1:65">
      <c r="J92" s="161" t="s">
        <v>6127</v>
      </c>
      <c r="K92" s="162">
        <v>29.72</v>
      </c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25"/>
      <c r="W92" s="107"/>
      <c r="X92" s="107"/>
      <c r="Y92" s="107"/>
      <c r="Z92" s="107"/>
      <c r="AI92" s="156">
        <f t="shared" si="11"/>
        <v>0</v>
      </c>
      <c r="AP92" s="101">
        <f t="shared" si="9"/>
        <v>0</v>
      </c>
      <c r="AQ92" s="177"/>
    </row>
    <row r="93" s="107" customFormat="1" hidden="1" customHeight="1" spans="1:65">
      <c r="J93" s="161" t="s">
        <v>6128</v>
      </c>
      <c r="K93" s="162">
        <v>29.65</v>
      </c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25"/>
      <c r="W93" s="107"/>
      <c r="X93" s="107"/>
      <c r="Y93" s="107"/>
      <c r="Z93" s="107"/>
      <c r="AI93" s="156">
        <f t="shared" si="11"/>
        <v>0</v>
      </c>
      <c r="AP93" s="101">
        <f t="shared" si="9"/>
        <v>0</v>
      </c>
      <c r="AQ93" s="177"/>
    </row>
    <row r="94" s="107" customFormat="1" hidden="1" customHeight="1" spans="1:65">
      <c r="J94" s="161" t="s">
        <v>6129</v>
      </c>
      <c r="K94" s="162">
        <v>15.52</v>
      </c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25"/>
      <c r="W94" s="107"/>
      <c r="X94" s="107"/>
      <c r="Y94" s="107"/>
      <c r="Z94" s="107"/>
      <c r="AI94" s="156">
        <f t="shared" si="11"/>
        <v>0</v>
      </c>
      <c r="AP94" s="101">
        <f t="shared" si="9"/>
        <v>0</v>
      </c>
      <c r="AQ94" s="177"/>
    </row>
    <row r="95" s="107" customFormat="1" hidden="1" customHeight="1" spans="1:65">
      <c r="J95" s="161" t="s">
        <v>6130</v>
      </c>
      <c r="K95" s="162">
        <v>19.57</v>
      </c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25"/>
      <c r="W95" s="107"/>
      <c r="X95" s="107"/>
      <c r="Y95" s="107"/>
      <c r="Z95" s="107"/>
      <c r="AI95" s="156">
        <f t="shared" si="11"/>
        <v>0</v>
      </c>
      <c r="AP95" s="101">
        <f t="shared" ref="AP95:AP132" si="14">SUM(AR95:BJ95)</f>
        <v>0</v>
      </c>
      <c r="AQ95" s="177"/>
    </row>
    <row r="96" s="107" customFormat="1" hidden="1" customHeight="1" spans="1:65">
      <c r="J96" s="161" t="s">
        <v>6131</v>
      </c>
      <c r="K96" s="162">
        <v>38.77</v>
      </c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25"/>
      <c r="W96" s="107"/>
      <c r="X96" s="107"/>
      <c r="Y96" s="107"/>
      <c r="Z96" s="107"/>
      <c r="AI96" s="156">
        <f t="shared" si="11"/>
        <v>0</v>
      </c>
      <c r="AP96" s="101">
        <f t="shared" si="14"/>
        <v>0</v>
      </c>
      <c r="AQ96" s="177"/>
    </row>
    <row r="97" s="107" customFormat="1" hidden="1" customHeight="1" spans="1:65">
      <c r="J97" s="161" t="s">
        <v>6132</v>
      </c>
      <c r="K97" s="162">
        <v>37.95</v>
      </c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25"/>
      <c r="W97" s="107"/>
      <c r="X97" s="107"/>
      <c r="Y97" s="107"/>
      <c r="Z97" s="107"/>
      <c r="AI97" s="156">
        <f t="shared" si="11"/>
        <v>0</v>
      </c>
      <c r="AP97" s="101">
        <f t="shared" si="14"/>
        <v>0</v>
      </c>
      <c r="AQ97" s="177"/>
    </row>
    <row r="98" s="107" customFormat="1" hidden="1" customHeight="1" spans="1:65">
      <c r="J98" s="161" t="s">
        <v>6133</v>
      </c>
      <c r="K98" s="162">
        <v>37.95</v>
      </c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25"/>
      <c r="W98" s="107"/>
      <c r="X98" s="107"/>
      <c r="Y98" s="107"/>
      <c r="Z98" s="107"/>
      <c r="AI98" s="156">
        <f t="shared" si="11"/>
        <v>0</v>
      </c>
      <c r="AP98" s="101">
        <f t="shared" si="14"/>
        <v>0</v>
      </c>
      <c r="AQ98" s="177"/>
    </row>
    <row r="99" s="107" customFormat="1" hidden="1" customHeight="1" spans="1:65">
      <c r="J99" s="161" t="s">
        <v>6134</v>
      </c>
      <c r="K99" s="162">
        <v>38.77</v>
      </c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25"/>
      <c r="W99" s="107"/>
      <c r="X99" s="107"/>
      <c r="Y99" s="107"/>
      <c r="Z99" s="107"/>
      <c r="AI99" s="156">
        <f t="shared" si="11"/>
        <v>0</v>
      </c>
      <c r="AP99" s="101">
        <f t="shared" si="14"/>
        <v>0</v>
      </c>
      <c r="AQ99" s="177"/>
    </row>
    <row r="100" s="107" customFormat="1" hidden="1" customHeight="1" spans="1:65">
      <c r="J100" s="161" t="s">
        <v>6135</v>
      </c>
      <c r="K100" s="162">
        <v>22.49</v>
      </c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25"/>
      <c r="W100" s="107"/>
      <c r="X100" s="107"/>
      <c r="Y100" s="107"/>
      <c r="Z100" s="107"/>
      <c r="AI100" s="156">
        <f t="shared" si="11"/>
        <v>0</v>
      </c>
      <c r="AP100" s="101">
        <f t="shared" si="14"/>
        <v>0</v>
      </c>
      <c r="AQ100" s="177"/>
    </row>
    <row r="101" s="107" customFormat="1" hidden="1" customHeight="1" spans="1:65">
      <c r="J101" s="161" t="s">
        <v>6136</v>
      </c>
      <c r="K101" s="162">
        <v>19.2</v>
      </c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25"/>
      <c r="W101" s="107"/>
      <c r="X101" s="107"/>
      <c r="Y101" s="107"/>
      <c r="Z101" s="107"/>
      <c r="AI101" s="156">
        <f t="shared" ref="AI101:AI132" si="15">W101+Y101+AA101+AC101+AE101+AG101</f>
        <v>0</v>
      </c>
      <c r="AP101" s="101">
        <f t="shared" si="14"/>
        <v>0</v>
      </c>
      <c r="AQ101" s="177"/>
    </row>
    <row r="102" s="107" customFormat="1" hidden="1" customHeight="1" spans="1:65">
      <c r="A102" s="107">
        <v>1</v>
      </c>
      <c r="B102" s="107"/>
      <c r="C102" s="107"/>
      <c r="D102" s="107"/>
      <c r="J102" s="161" t="s">
        <v>6137</v>
      </c>
      <c r="K102" s="162">
        <v>123.68</v>
      </c>
      <c r="L102" s="107"/>
      <c r="M102" s="107"/>
      <c r="N102" s="107"/>
      <c r="O102" s="107">
        <v>8231.43</v>
      </c>
      <c r="P102" s="107"/>
      <c r="Q102" s="107"/>
      <c r="R102" s="107"/>
      <c r="S102" s="107"/>
      <c r="T102" s="107"/>
      <c r="U102" s="107"/>
      <c r="V102" s="125"/>
      <c r="W102" s="107"/>
      <c r="X102" s="107"/>
      <c r="Y102" s="107"/>
      <c r="Z102" s="107"/>
      <c r="AI102" s="156">
        <f t="shared" si="15"/>
        <v>0</v>
      </c>
      <c r="AP102" s="101">
        <f t="shared" si="14"/>
        <v>0</v>
      </c>
      <c r="AQ102" s="177"/>
    </row>
    <row r="103" s="125" customFormat="1" hidden="1" customHeight="1" spans="1:65">
      <c r="A103" s="125">
        <v>2</v>
      </c>
      <c r="B103" s="125"/>
      <c r="C103" s="168">
        <v>45781</v>
      </c>
      <c r="D103" s="125">
        <v>20250002507</v>
      </c>
      <c r="G103" s="1037" t="s">
        <v>6138</v>
      </c>
      <c r="H103" s="125" t="s">
        <v>6139</v>
      </c>
      <c r="I103" s="125"/>
      <c r="J103" s="170" t="s">
        <v>6140</v>
      </c>
      <c r="K103" s="164">
        <v>123.1</v>
      </c>
      <c r="L103" s="125">
        <v>123.1</v>
      </c>
      <c r="M103" s="174">
        <v>8285.95</v>
      </c>
      <c r="N103" s="125">
        <v>1020000</v>
      </c>
      <c r="O103" s="125">
        <v>8250.43</v>
      </c>
      <c r="P103" s="125"/>
      <c r="Q103" s="125"/>
      <c r="R103" s="125"/>
      <c r="S103" s="125"/>
      <c r="T103" s="125"/>
      <c r="U103" s="125"/>
      <c r="V103" s="125"/>
      <c r="W103" s="125">
        <v>350000</v>
      </c>
      <c r="X103" s="125" t="s">
        <v>3576</v>
      </c>
      <c r="Y103" s="125">
        <v>670000</v>
      </c>
      <c r="Z103" s="125" t="s">
        <v>6141</v>
      </c>
      <c r="AI103" s="165">
        <f t="shared" si="15"/>
        <v>1020000</v>
      </c>
      <c r="AL103" s="125">
        <f>N103-AI103</f>
        <v>0</v>
      </c>
      <c r="AM103" s="125">
        <v>15930865255</v>
      </c>
      <c r="AN103" s="125" t="s">
        <v>6001</v>
      </c>
      <c r="AP103" s="125">
        <f t="shared" si="14"/>
        <v>1020000</v>
      </c>
      <c r="AQ103" s="177">
        <f>0.4%+0.03%+0.08%+0.03%</f>
        <v>0.0054</v>
      </c>
      <c r="AZ103" s="125">
        <v>1020000</v>
      </c>
      <c r="BM103" s="125" t="s">
        <v>260</v>
      </c>
    </row>
    <row r="104" s="107" customFormat="1" hidden="1" customHeight="1" spans="1:65">
      <c r="A104" s="107">
        <v>3</v>
      </c>
      <c r="B104" s="107"/>
      <c r="C104" s="107"/>
      <c r="D104" s="107"/>
      <c r="J104" s="161" t="s">
        <v>6142</v>
      </c>
      <c r="K104" s="162">
        <v>134.8</v>
      </c>
      <c r="L104" s="107"/>
      <c r="M104" s="107"/>
      <c r="N104" s="107"/>
      <c r="O104" s="107">
        <v>5755.06</v>
      </c>
      <c r="P104" s="107"/>
      <c r="Q104" s="107"/>
      <c r="R104" s="107"/>
      <c r="S104" s="107"/>
      <c r="T104" s="107"/>
      <c r="U104" s="107"/>
      <c r="V104" s="125"/>
      <c r="W104" s="107"/>
      <c r="X104" s="107"/>
      <c r="Y104" s="107"/>
      <c r="Z104" s="107"/>
      <c r="AI104" s="156">
        <f t="shared" si="15"/>
        <v>0</v>
      </c>
      <c r="AL104" s="125">
        <f t="shared" ref="AL104:AL122" si="16">N104-AI104</f>
        <v>0</v>
      </c>
      <c r="AP104" s="101">
        <f t="shared" si="14"/>
        <v>0</v>
      </c>
      <c r="AQ104" s="177"/>
    </row>
    <row r="105" s="107" customFormat="1" hidden="1" customHeight="1" spans="1:65">
      <c r="A105" s="107">
        <v>4</v>
      </c>
      <c r="B105" s="107"/>
      <c r="C105" s="107"/>
      <c r="D105" s="107"/>
      <c r="J105" s="167" t="s">
        <v>6143</v>
      </c>
      <c r="K105" s="162">
        <v>133.94</v>
      </c>
      <c r="L105" s="107"/>
      <c r="M105" s="107"/>
      <c r="N105" s="107"/>
      <c r="O105" s="107">
        <v>5774.06</v>
      </c>
      <c r="P105" s="107"/>
      <c r="Q105" s="107"/>
      <c r="R105" s="107"/>
      <c r="S105" s="107"/>
      <c r="T105" s="107"/>
      <c r="U105" s="107"/>
      <c r="V105" s="125"/>
      <c r="W105" s="107"/>
      <c r="X105" s="107"/>
      <c r="Y105" s="107"/>
      <c r="Z105" s="107"/>
      <c r="AI105" s="156">
        <f t="shared" si="15"/>
        <v>0</v>
      </c>
      <c r="AL105" s="125">
        <f t="shared" si="16"/>
        <v>0</v>
      </c>
      <c r="AP105" s="101">
        <f t="shared" si="14"/>
        <v>0</v>
      </c>
      <c r="AQ105" s="177"/>
    </row>
    <row r="106" s="125" customFormat="1" hidden="1" customHeight="1" spans="1:65">
      <c r="A106" s="125">
        <v>5</v>
      </c>
      <c r="B106" s="125">
        <v>1</v>
      </c>
      <c r="C106" s="125"/>
      <c r="D106" s="125"/>
      <c r="H106" s="125" t="s">
        <v>6144</v>
      </c>
      <c r="I106" s="125"/>
      <c r="J106" s="163" t="s">
        <v>6145</v>
      </c>
      <c r="K106" s="164">
        <v>134.8</v>
      </c>
      <c r="L106" s="125">
        <v>134.8</v>
      </c>
      <c r="M106" s="125">
        <v>4950</v>
      </c>
      <c r="N106" s="125">
        <v>667260</v>
      </c>
      <c r="O106" s="125">
        <v>5809.72</v>
      </c>
      <c r="P106" s="125" t="s">
        <v>660</v>
      </c>
      <c r="Q106" s="125"/>
      <c r="R106" s="125"/>
      <c r="S106" s="125">
        <v>5000</v>
      </c>
      <c r="T106" s="168">
        <v>46110</v>
      </c>
      <c r="U106" s="125"/>
      <c r="V106" s="125" t="s">
        <v>5786</v>
      </c>
      <c r="W106" s="125">
        <v>5000</v>
      </c>
      <c r="X106" s="168">
        <v>46110</v>
      </c>
      <c r="Y106" s="125"/>
      <c r="Z106" s="125"/>
      <c r="AI106" s="165">
        <f t="shared" si="15"/>
        <v>5000</v>
      </c>
      <c r="AL106" s="125">
        <f t="shared" si="16"/>
        <v>662260</v>
      </c>
      <c r="AP106" s="125">
        <f t="shared" si="14"/>
        <v>0</v>
      </c>
      <c r="AQ106" s="177">
        <f>0.7%+0.04%+0.14%+0.03%</f>
        <v>0.0091</v>
      </c>
    </row>
    <row r="107" s="107" customFormat="1" hidden="1" customHeight="1" spans="1:65">
      <c r="A107" s="107">
        <v>6</v>
      </c>
      <c r="B107" s="107"/>
      <c r="C107" s="107"/>
      <c r="D107" s="107"/>
      <c r="J107" s="167" t="s">
        <v>6146</v>
      </c>
      <c r="K107" s="162">
        <v>133.94</v>
      </c>
      <c r="L107" s="107"/>
      <c r="M107" s="107"/>
      <c r="N107" s="107"/>
      <c r="O107" s="107">
        <v>5828.72</v>
      </c>
      <c r="P107" s="107"/>
      <c r="Q107" s="107"/>
      <c r="R107" s="107"/>
      <c r="S107" s="107"/>
      <c r="T107" s="107"/>
      <c r="U107" s="107"/>
      <c r="V107" s="125"/>
      <c r="W107" s="107"/>
      <c r="X107" s="107"/>
      <c r="Y107" s="107"/>
      <c r="Z107" s="107"/>
      <c r="AI107" s="156">
        <f t="shared" si="15"/>
        <v>0</v>
      </c>
      <c r="AL107" s="125">
        <f t="shared" si="16"/>
        <v>0</v>
      </c>
      <c r="AP107" s="101">
        <f t="shared" si="14"/>
        <v>0</v>
      </c>
      <c r="AQ107" s="177"/>
    </row>
    <row r="108" s="125" customFormat="1" hidden="1" customHeight="1" spans="1:65">
      <c r="A108" s="125">
        <v>7</v>
      </c>
      <c r="B108" s="125">
        <v>1</v>
      </c>
      <c r="C108" s="125"/>
      <c r="D108" s="125"/>
      <c r="G108" s="125" t="s">
        <v>6147</v>
      </c>
      <c r="H108" s="125" t="s">
        <v>6148</v>
      </c>
      <c r="I108" s="1037" t="s">
        <v>6149</v>
      </c>
      <c r="J108" s="163" t="s">
        <v>6150</v>
      </c>
      <c r="K108" s="164">
        <v>134.8</v>
      </c>
      <c r="L108" s="125">
        <v>134.8</v>
      </c>
      <c r="M108" s="125">
        <v>5300</v>
      </c>
      <c r="N108" s="125">
        <v>714440</v>
      </c>
      <c r="O108" s="125">
        <v>5842.32</v>
      </c>
      <c r="P108" s="125" t="s">
        <v>660</v>
      </c>
      <c r="Q108" s="125"/>
      <c r="R108" s="125"/>
      <c r="S108" s="125">
        <v>20000</v>
      </c>
      <c r="T108" s="168">
        <v>46111</v>
      </c>
      <c r="U108" s="125"/>
      <c r="V108" s="125" t="s">
        <v>3393</v>
      </c>
      <c r="W108" s="125">
        <v>20000</v>
      </c>
      <c r="X108" s="168">
        <v>46111</v>
      </c>
      <c r="Y108" s="125"/>
      <c r="Z108" s="125"/>
      <c r="AI108" s="165">
        <f t="shared" si="15"/>
        <v>20000</v>
      </c>
      <c r="AL108" s="125">
        <f t="shared" si="16"/>
        <v>694440</v>
      </c>
      <c r="AP108" s="125">
        <f t="shared" si="14"/>
        <v>0</v>
      </c>
      <c r="AQ108" s="177">
        <f>0.7%+0.05%+0.14%+0.03%</f>
        <v>0.0092</v>
      </c>
    </row>
    <row r="109" s="107" customFormat="1" hidden="1" customHeight="1" spans="1:65">
      <c r="A109" s="107">
        <v>8</v>
      </c>
      <c r="B109" s="107"/>
      <c r="C109" s="107"/>
      <c r="D109" s="107"/>
      <c r="J109" s="167" t="s">
        <v>6151</v>
      </c>
      <c r="K109" s="162">
        <v>133.94</v>
      </c>
      <c r="L109" s="107"/>
      <c r="M109" s="107"/>
      <c r="N109" s="107"/>
      <c r="O109" s="107">
        <v>5861.32</v>
      </c>
      <c r="P109" s="107"/>
      <c r="Q109" s="107"/>
      <c r="R109" s="107"/>
      <c r="S109" s="107"/>
      <c r="T109" s="107"/>
      <c r="U109" s="107"/>
      <c r="V109" s="125"/>
      <c r="W109" s="107"/>
      <c r="X109" s="107"/>
      <c r="Y109" s="107"/>
      <c r="Z109" s="107"/>
      <c r="AI109" s="156">
        <f t="shared" si="15"/>
        <v>0</v>
      </c>
      <c r="AL109" s="125">
        <f t="shared" si="16"/>
        <v>0</v>
      </c>
      <c r="AP109" s="101">
        <f t="shared" si="14"/>
        <v>0</v>
      </c>
      <c r="AQ109" s="177"/>
    </row>
    <row r="110" s="125" customFormat="1" hidden="1" customHeight="1" spans="1:65">
      <c r="A110" s="125">
        <v>9</v>
      </c>
      <c r="B110" s="125">
        <v>1</v>
      </c>
      <c r="C110" s="168">
        <v>46098</v>
      </c>
      <c r="D110" s="125">
        <v>20260001240</v>
      </c>
      <c r="G110" s="1037" t="s">
        <v>6152</v>
      </c>
      <c r="H110" s="125" t="s">
        <v>6153</v>
      </c>
      <c r="I110" s="1037" t="s">
        <v>6154</v>
      </c>
      <c r="J110" s="163" t="s">
        <v>6155</v>
      </c>
      <c r="K110" s="164">
        <v>134.8</v>
      </c>
      <c r="L110" s="125">
        <v>134.8</v>
      </c>
      <c r="M110" s="125">
        <v>5192.88</v>
      </c>
      <c r="N110" s="125">
        <v>700000</v>
      </c>
      <c r="O110" s="125">
        <v>5916.67</v>
      </c>
      <c r="P110" s="125" t="s">
        <v>660</v>
      </c>
      <c r="Q110" s="125"/>
      <c r="R110" s="125"/>
      <c r="S110" s="125">
        <f>20000+85000+595000</f>
        <v>700000</v>
      </c>
      <c r="T110" s="168" t="s">
        <v>6156</v>
      </c>
      <c r="U110" s="125"/>
      <c r="V110" s="125" t="s">
        <v>5786</v>
      </c>
      <c r="W110" s="125">
        <f>20000</f>
        <v>20000</v>
      </c>
      <c r="X110" s="168">
        <v>46097</v>
      </c>
      <c r="Y110" s="125">
        <v>85000</v>
      </c>
      <c r="Z110" s="168">
        <v>46098</v>
      </c>
      <c r="AA110" s="125">
        <v>595000</v>
      </c>
      <c r="AB110" s="168">
        <v>46112</v>
      </c>
      <c r="AI110" s="165">
        <f t="shared" si="15"/>
        <v>700000</v>
      </c>
      <c r="AL110" s="125">
        <f t="shared" si="16"/>
        <v>0</v>
      </c>
      <c r="AM110" s="125">
        <v>13239062619</v>
      </c>
      <c r="AP110" s="125">
        <f t="shared" si="14"/>
        <v>0</v>
      </c>
      <c r="AQ110" s="177">
        <f>0.7%+0.04%+0.14%+0.03%</f>
        <v>0.0091</v>
      </c>
      <c r="BM110" s="125" t="s">
        <v>260</v>
      </c>
    </row>
    <row r="111" s="125" customFormat="1" hidden="1" customHeight="1" spans="1:65">
      <c r="A111" s="125">
        <v>10</v>
      </c>
      <c r="B111" s="125"/>
      <c r="C111" s="168">
        <v>45903</v>
      </c>
      <c r="D111" s="125">
        <v>20250004506</v>
      </c>
      <c r="G111" s="1037" t="s">
        <v>6157</v>
      </c>
      <c r="H111" s="125" t="s">
        <v>6158</v>
      </c>
      <c r="I111" s="125"/>
      <c r="J111" s="170" t="s">
        <v>6159</v>
      </c>
      <c r="K111" s="164">
        <v>133.94</v>
      </c>
      <c r="L111" s="125">
        <v>133.94</v>
      </c>
      <c r="M111" s="125">
        <v>5400</v>
      </c>
      <c r="N111" s="125">
        <v>723276</v>
      </c>
      <c r="O111" s="125">
        <v>5400</v>
      </c>
      <c r="T111" s="168"/>
      <c r="U111" s="125"/>
      <c r="V111" s="125" t="s">
        <v>571</v>
      </c>
      <c r="W111" s="125">
        <f>5276+150000</f>
        <v>155276</v>
      </c>
      <c r="X111" s="168" t="s">
        <v>6160</v>
      </c>
      <c r="Y111" s="125">
        <v>568000</v>
      </c>
      <c r="Z111" s="168">
        <v>45971</v>
      </c>
      <c r="AA111" s="125"/>
      <c r="AB111" s="125"/>
      <c r="AC111" s="125"/>
      <c r="AD111" s="125"/>
      <c r="AE111" s="125"/>
      <c r="AF111" s="125"/>
      <c r="AG111" s="125"/>
      <c r="AH111" s="125"/>
      <c r="AI111" s="165">
        <f t="shared" si="15"/>
        <v>723276</v>
      </c>
      <c r="AL111" s="125">
        <f t="shared" si="16"/>
        <v>0</v>
      </c>
      <c r="AN111" s="125" t="s">
        <v>6001</v>
      </c>
      <c r="AO111" s="125"/>
      <c r="AP111" s="125">
        <f t="shared" si="14"/>
        <v>723276</v>
      </c>
      <c r="AQ111" s="177">
        <f>0.7%+0.02%+0.08%+0.03%</f>
        <v>0.0083</v>
      </c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25">
        <v>155276</v>
      </c>
      <c r="BE111" s="125">
        <v>568000</v>
      </c>
      <c r="BM111" s="125" t="s">
        <v>2707</v>
      </c>
    </row>
    <row r="112" s="125" customFormat="1" hidden="1" customHeight="1" spans="1:65">
      <c r="A112" s="125">
        <v>11</v>
      </c>
      <c r="B112" s="125"/>
      <c r="C112" s="168">
        <v>46061</v>
      </c>
      <c r="D112" s="125">
        <v>20260000761</v>
      </c>
      <c r="G112" s="1037" t="s">
        <v>6161</v>
      </c>
      <c r="H112" s="125" t="s">
        <v>6162</v>
      </c>
      <c r="I112" s="1037" t="s">
        <v>6163</v>
      </c>
      <c r="J112" s="163" t="s">
        <v>6164</v>
      </c>
      <c r="K112" s="164">
        <v>134.8</v>
      </c>
      <c r="L112" s="125">
        <v>134.8</v>
      </c>
      <c r="M112" s="125">
        <v>5296.735</v>
      </c>
      <c r="N112" s="125">
        <v>714000</v>
      </c>
      <c r="O112" s="125">
        <v>5296.74</v>
      </c>
      <c r="P112" s="125"/>
      <c r="Q112" s="125"/>
      <c r="R112" s="125"/>
      <c r="S112" s="125">
        <v>570000</v>
      </c>
      <c r="T112" s="168">
        <v>46112</v>
      </c>
      <c r="U112" s="125"/>
      <c r="V112" s="125" t="s">
        <v>6165</v>
      </c>
      <c r="W112" s="125">
        <v>20000</v>
      </c>
      <c r="X112" s="168">
        <v>46054</v>
      </c>
      <c r="Y112" s="125">
        <v>124000</v>
      </c>
      <c r="Z112" s="168">
        <v>46061</v>
      </c>
      <c r="AA112" s="125">
        <v>570000</v>
      </c>
      <c r="AB112" s="168">
        <v>46112</v>
      </c>
      <c r="AI112" s="165">
        <f t="shared" si="15"/>
        <v>714000</v>
      </c>
      <c r="AL112" s="125">
        <f t="shared" si="16"/>
        <v>0</v>
      </c>
      <c r="AM112" s="125">
        <v>15594298752</v>
      </c>
      <c r="AP112" s="125">
        <f t="shared" si="14"/>
        <v>714000</v>
      </c>
      <c r="AQ112" s="177">
        <f>0.6%+0.02%+0.08%+0.03%</f>
        <v>0.0073</v>
      </c>
      <c r="BH112" s="125">
        <v>144000</v>
      </c>
      <c r="BI112" s="125">
        <v>570000</v>
      </c>
      <c r="BM112" s="125" t="s">
        <v>260</v>
      </c>
    </row>
    <row r="113" s="125" customFormat="1" hidden="1" customHeight="1" spans="1:65">
      <c r="A113" s="125">
        <v>12</v>
      </c>
      <c r="B113" s="125"/>
      <c r="C113" s="168">
        <v>45905</v>
      </c>
      <c r="D113" s="125">
        <v>20250004529</v>
      </c>
      <c r="G113" s="1037" t="s">
        <v>6166</v>
      </c>
      <c r="H113" s="125" t="s">
        <v>6167</v>
      </c>
      <c r="I113" s="1037" t="s">
        <v>6168</v>
      </c>
      <c r="J113" s="163" t="s">
        <v>6169</v>
      </c>
      <c r="K113" s="164">
        <v>133.94</v>
      </c>
      <c r="L113" s="125">
        <v>133.94</v>
      </c>
      <c r="M113" s="125">
        <v>5450.2</v>
      </c>
      <c r="N113" s="125">
        <v>730000</v>
      </c>
      <c r="O113" s="125">
        <f>5654.59-300</f>
        <v>5354.59</v>
      </c>
      <c r="T113" s="168"/>
      <c r="U113" s="125"/>
      <c r="V113" s="125" t="s">
        <v>690</v>
      </c>
      <c r="W113" s="125">
        <v>10000</v>
      </c>
      <c r="X113" s="168">
        <v>45899</v>
      </c>
      <c r="Y113" s="125">
        <v>134000</v>
      </c>
      <c r="Z113" s="168">
        <v>45905</v>
      </c>
      <c r="AA113" s="125">
        <v>56000</v>
      </c>
      <c r="AB113" s="168">
        <v>45940</v>
      </c>
      <c r="AC113" s="125">
        <v>530000</v>
      </c>
      <c r="AD113" s="168">
        <v>45959</v>
      </c>
      <c r="AI113" s="165">
        <f t="shared" si="15"/>
        <v>730000</v>
      </c>
      <c r="AL113" s="125">
        <f t="shared" si="16"/>
        <v>0</v>
      </c>
      <c r="AM113" s="125">
        <v>18699692412</v>
      </c>
      <c r="AN113" s="125" t="s">
        <v>3362</v>
      </c>
      <c r="AP113" s="125">
        <f t="shared" si="14"/>
        <v>730000</v>
      </c>
      <c r="AQ113" s="177">
        <f>0.7%+0.08%+0.03%</f>
        <v>0.0081</v>
      </c>
      <c r="BC113" s="125">
        <v>144000</v>
      </c>
      <c r="BD113" s="125">
        <v>586000</v>
      </c>
      <c r="BM113" s="125" t="s">
        <v>2707</v>
      </c>
    </row>
    <row r="114" s="125" customFormat="1" hidden="1" customHeight="1" spans="1:65">
      <c r="A114" s="125">
        <v>13</v>
      </c>
      <c r="B114" s="125"/>
      <c r="C114" s="168">
        <v>45991</v>
      </c>
      <c r="D114" s="125">
        <v>20250006097</v>
      </c>
      <c r="G114" s="1037" t="s">
        <v>6170</v>
      </c>
      <c r="H114" s="125" t="s">
        <v>6171</v>
      </c>
      <c r="I114" s="1037" t="s">
        <v>6172</v>
      </c>
      <c r="J114" s="170" t="s">
        <v>6173</v>
      </c>
      <c r="K114" s="164">
        <v>134.8</v>
      </c>
      <c r="L114" s="125">
        <v>134.8</v>
      </c>
      <c r="M114" s="125">
        <v>5400</v>
      </c>
      <c r="N114" s="125">
        <v>727920</v>
      </c>
      <c r="O114" s="125">
        <f>5684.5-300</f>
        <v>5384.5</v>
      </c>
      <c r="T114" s="168"/>
      <c r="U114" s="125"/>
      <c r="V114" s="125" t="s">
        <v>5786</v>
      </c>
      <c r="W114" s="125">
        <v>7920</v>
      </c>
      <c r="X114" s="168">
        <v>45992</v>
      </c>
      <c r="Y114" s="125">
        <v>160000</v>
      </c>
      <c r="Z114" s="168">
        <v>45999</v>
      </c>
      <c r="AA114" s="125">
        <v>560000</v>
      </c>
      <c r="AB114" s="168">
        <v>46030</v>
      </c>
      <c r="AC114" s="125"/>
      <c r="AD114" s="125"/>
      <c r="AE114" s="125"/>
      <c r="AF114" s="125"/>
      <c r="AG114" s="125"/>
      <c r="AH114" s="125"/>
      <c r="AI114" s="165">
        <f t="shared" si="15"/>
        <v>727920</v>
      </c>
      <c r="AL114" s="125">
        <f t="shared" si="16"/>
        <v>0</v>
      </c>
      <c r="AN114" s="125" t="s">
        <v>3362</v>
      </c>
      <c r="AP114" s="125">
        <f t="shared" si="14"/>
        <v>727920</v>
      </c>
      <c r="AQ114" s="177">
        <f>0.7%+0.03%+0.08%+0.03%</f>
        <v>0.0084</v>
      </c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F114" s="125">
        <v>167920</v>
      </c>
      <c r="BG114" s="125">
        <v>560000</v>
      </c>
      <c r="BM114" s="125" t="s">
        <v>3258</v>
      </c>
    </row>
    <row r="115" s="125" customFormat="1" hidden="1" customHeight="1" spans="1:65">
      <c r="A115" s="125">
        <v>14</v>
      </c>
      <c r="B115" s="125"/>
      <c r="C115" s="168">
        <v>45891</v>
      </c>
      <c r="D115" s="125">
        <v>20250004331</v>
      </c>
      <c r="G115" s="125" t="s">
        <v>6174</v>
      </c>
      <c r="H115" s="125" t="s">
        <v>6175</v>
      </c>
      <c r="I115" s="1037" t="s">
        <v>6176</v>
      </c>
      <c r="J115" s="170" t="s">
        <v>6177</v>
      </c>
      <c r="K115" s="164">
        <v>133.94</v>
      </c>
      <c r="L115" s="125">
        <v>133.94</v>
      </c>
      <c r="M115" s="125">
        <v>5500</v>
      </c>
      <c r="N115" s="125">
        <v>736670</v>
      </c>
      <c r="O115" s="125">
        <v>6053.5</v>
      </c>
      <c r="P115" s="125"/>
      <c r="Q115" s="125"/>
      <c r="R115" s="125"/>
      <c r="S115" s="125"/>
      <c r="T115" s="168"/>
      <c r="U115" s="125"/>
      <c r="V115" s="125" t="s">
        <v>267</v>
      </c>
      <c r="W115" s="125">
        <v>20000</v>
      </c>
      <c r="X115" s="168" t="s">
        <v>5990</v>
      </c>
      <c r="Y115" s="125">
        <f>696670</f>
        <v>696670</v>
      </c>
      <c r="Z115" s="168">
        <v>45885</v>
      </c>
      <c r="AA115" s="125">
        <v>20000</v>
      </c>
      <c r="AB115" s="168">
        <v>45894</v>
      </c>
      <c r="AI115" s="165">
        <f t="shared" si="15"/>
        <v>736670</v>
      </c>
      <c r="AL115" s="125">
        <f t="shared" si="16"/>
        <v>0</v>
      </c>
      <c r="AM115" s="125">
        <v>18892948848</v>
      </c>
      <c r="AN115" s="125" t="s">
        <v>6178</v>
      </c>
      <c r="AP115" s="125">
        <f t="shared" si="14"/>
        <v>736670</v>
      </c>
      <c r="AQ115" s="177">
        <f>0.6%+0.08%+0.03%</f>
        <v>0.0071</v>
      </c>
      <c r="BB115" s="125">
        <v>736670</v>
      </c>
      <c r="BM115" s="125" t="s">
        <v>2707</v>
      </c>
    </row>
    <row r="116" s="125" customFormat="1" hidden="1" customHeight="1" spans="1:65">
      <c r="A116" s="125">
        <v>15</v>
      </c>
      <c r="B116" s="125">
        <v>1</v>
      </c>
      <c r="C116" s="168">
        <v>46098</v>
      </c>
      <c r="D116" s="125">
        <v>20260001243</v>
      </c>
      <c r="G116" s="125" t="s">
        <v>6179</v>
      </c>
      <c r="H116" s="125" t="s">
        <v>6180</v>
      </c>
      <c r="I116" s="1037" t="s">
        <v>6181</v>
      </c>
      <c r="J116" s="170" t="s">
        <v>6182</v>
      </c>
      <c r="K116" s="164">
        <v>134.8</v>
      </c>
      <c r="L116" s="125">
        <v>134.8</v>
      </c>
      <c r="M116" s="125">
        <v>5734.42</v>
      </c>
      <c r="N116" s="125">
        <v>773000</v>
      </c>
      <c r="O116" s="125">
        <f>5711.67</f>
        <v>5711.67</v>
      </c>
      <c r="S116" s="125">
        <f>20000+653000+100000</f>
        <v>773000</v>
      </c>
      <c r="T116" s="168" t="s">
        <v>6183</v>
      </c>
      <c r="V116" s="125" t="s">
        <v>3393</v>
      </c>
      <c r="W116" s="125">
        <v>20000</v>
      </c>
      <c r="X116" s="168">
        <v>46083</v>
      </c>
      <c r="Y116" s="125">
        <v>653000</v>
      </c>
      <c r="Z116" s="168">
        <v>46098</v>
      </c>
      <c r="AA116" s="125">
        <v>100000</v>
      </c>
      <c r="AB116" s="168">
        <v>46111</v>
      </c>
      <c r="AI116" s="165">
        <f t="shared" si="15"/>
        <v>773000</v>
      </c>
      <c r="AL116" s="125">
        <f t="shared" si="16"/>
        <v>0</v>
      </c>
      <c r="AM116" s="125">
        <v>19990399894</v>
      </c>
      <c r="AN116" s="125" t="s">
        <v>6184</v>
      </c>
      <c r="AP116" s="125">
        <f t="shared" si="14"/>
        <v>773000</v>
      </c>
      <c r="AQ116" s="177">
        <f t="shared" ref="AQ116:AQ120" si="17">0.7%+0.05%+0.14%+0.03%</f>
        <v>0.0092</v>
      </c>
      <c r="BI116" s="125">
        <v>773000</v>
      </c>
      <c r="BM116" s="125" t="s">
        <v>260</v>
      </c>
    </row>
    <row r="117" s="125" customFormat="1" hidden="1" customHeight="1" spans="1:65">
      <c r="A117" s="125">
        <v>16</v>
      </c>
      <c r="B117" s="125"/>
      <c r="C117" s="179">
        <v>45903</v>
      </c>
      <c r="D117" s="125">
        <v>20250004502</v>
      </c>
      <c r="G117" s="1037" t="s">
        <v>6185</v>
      </c>
      <c r="H117" s="125" t="s">
        <v>6186</v>
      </c>
      <c r="I117" s="1037" t="s">
        <v>6187</v>
      </c>
      <c r="J117" s="170" t="s">
        <v>6188</v>
      </c>
      <c r="K117" s="164">
        <v>133.94</v>
      </c>
      <c r="L117" s="125">
        <v>133.94</v>
      </c>
      <c r="M117" s="125">
        <v>5500</v>
      </c>
      <c r="N117" s="125">
        <v>736670</v>
      </c>
      <c r="O117" s="125">
        <f>5730.67-300</f>
        <v>5430.67</v>
      </c>
      <c r="T117" s="184"/>
      <c r="U117" s="125"/>
      <c r="V117" s="125" t="s">
        <v>267</v>
      </c>
      <c r="W117" s="125">
        <f>20000</f>
        <v>20000</v>
      </c>
      <c r="X117" s="184" t="s">
        <v>6189</v>
      </c>
      <c r="Y117" s="125">
        <f>97670+30000</f>
        <v>127670</v>
      </c>
      <c r="Z117" s="184" t="s">
        <v>6190</v>
      </c>
      <c r="AA117" s="125">
        <v>589000</v>
      </c>
      <c r="AB117" s="184">
        <v>45958</v>
      </c>
      <c r="AI117" s="165">
        <f t="shared" si="15"/>
        <v>736670</v>
      </c>
      <c r="AL117" s="125">
        <f t="shared" si="16"/>
        <v>0</v>
      </c>
      <c r="AM117" s="125">
        <v>15199395793</v>
      </c>
      <c r="AN117" s="125" t="s">
        <v>3362</v>
      </c>
      <c r="AP117" s="125">
        <f t="shared" si="14"/>
        <v>736670</v>
      </c>
      <c r="AQ117" s="177">
        <f>0.7%+0.08%+0.03%</f>
        <v>0.0081</v>
      </c>
      <c r="BC117" s="125">
        <v>147670</v>
      </c>
      <c r="BD117" s="125">
        <v>589000</v>
      </c>
      <c r="BM117" s="125" t="s">
        <v>2707</v>
      </c>
    </row>
    <row r="118" s="125" customFormat="1" hidden="1" customHeight="1" spans="1:65">
      <c r="A118" s="125">
        <v>17</v>
      </c>
      <c r="B118" s="125">
        <v>1</v>
      </c>
      <c r="C118" s="168">
        <v>46107</v>
      </c>
      <c r="D118" s="125">
        <v>20260001390</v>
      </c>
      <c r="G118" s="1037" t="s">
        <v>6191</v>
      </c>
      <c r="H118" s="125" t="s">
        <v>6192</v>
      </c>
      <c r="I118" s="1037" t="s">
        <v>6193</v>
      </c>
      <c r="J118" s="163" t="s">
        <v>6194</v>
      </c>
      <c r="K118" s="164">
        <v>134.8</v>
      </c>
      <c r="L118" s="125">
        <v>134.8</v>
      </c>
      <c r="M118" s="125">
        <v>5467</v>
      </c>
      <c r="N118" s="125">
        <v>736951</v>
      </c>
      <c r="O118" s="125">
        <f>5740.59-300</f>
        <v>5440.59</v>
      </c>
      <c r="S118" s="125">
        <f>20000+100951</f>
        <v>120951</v>
      </c>
      <c r="T118" s="168" t="s">
        <v>6195</v>
      </c>
      <c r="V118" s="125" t="s">
        <v>3393</v>
      </c>
      <c r="W118" s="125">
        <v>20000</v>
      </c>
      <c r="X118" s="168">
        <v>46082</v>
      </c>
      <c r="Y118" s="125">
        <v>100951</v>
      </c>
      <c r="Z118" s="168">
        <v>46107</v>
      </c>
      <c r="AI118" s="165">
        <f t="shared" si="15"/>
        <v>120951</v>
      </c>
      <c r="AL118" s="125">
        <f t="shared" si="16"/>
        <v>616000</v>
      </c>
      <c r="AN118" s="125" t="s">
        <v>6178</v>
      </c>
      <c r="AP118" s="125">
        <f t="shared" si="14"/>
        <v>120951</v>
      </c>
      <c r="AQ118" s="177">
        <f t="shared" si="17"/>
        <v>0.0092</v>
      </c>
      <c r="BI118" s="125">
        <v>120951</v>
      </c>
      <c r="BM118" s="125" t="s">
        <v>260</v>
      </c>
    </row>
    <row r="119" s="125" customFormat="1" hidden="1" customHeight="1" spans="1:65">
      <c r="A119" s="125">
        <v>18</v>
      </c>
      <c r="B119" s="125"/>
      <c r="C119" s="168">
        <v>45690</v>
      </c>
      <c r="D119" s="125">
        <v>20250000616</v>
      </c>
      <c r="G119" s="1037" t="s">
        <v>6196</v>
      </c>
      <c r="H119" s="125" t="s">
        <v>6197</v>
      </c>
      <c r="I119" s="1037" t="s">
        <v>3682</v>
      </c>
      <c r="J119" s="170" t="s">
        <v>6198</v>
      </c>
      <c r="K119" s="164">
        <v>133.94</v>
      </c>
      <c r="L119" s="125">
        <v>133.94</v>
      </c>
      <c r="M119" s="125">
        <v>6046.9</v>
      </c>
      <c r="N119" s="125">
        <v>809923</v>
      </c>
      <c r="O119" s="125">
        <v>6046.9</v>
      </c>
      <c r="P119" s="125"/>
      <c r="Q119" s="125"/>
      <c r="R119" s="125"/>
      <c r="S119" s="125"/>
      <c r="T119" s="125"/>
      <c r="U119" s="125"/>
      <c r="V119" s="125" t="s">
        <v>370</v>
      </c>
      <c r="W119" s="125">
        <f>20000</f>
        <v>20000</v>
      </c>
      <c r="X119" s="125" t="s">
        <v>6199</v>
      </c>
      <c r="Y119" s="125">
        <f>59923+50000</f>
        <v>109923</v>
      </c>
      <c r="Z119" s="125" t="s">
        <v>5804</v>
      </c>
      <c r="AA119" s="125">
        <v>680000</v>
      </c>
      <c r="AB119" s="125" t="s">
        <v>939</v>
      </c>
      <c r="AI119" s="165">
        <f t="shared" si="15"/>
        <v>809923</v>
      </c>
      <c r="AL119" s="125">
        <f t="shared" si="16"/>
        <v>0</v>
      </c>
      <c r="AM119" s="125">
        <v>18095858818</v>
      </c>
      <c r="AN119" s="125" t="s">
        <v>6200</v>
      </c>
      <c r="AP119" s="165">
        <f t="shared" si="14"/>
        <v>809923</v>
      </c>
      <c r="AQ119" s="177">
        <f>0.7%+0.04%+0.12%+0.03%</f>
        <v>0.0089</v>
      </c>
      <c r="AV119" s="125">
        <v>129923</v>
      </c>
      <c r="AW119" s="125">
        <v>680000</v>
      </c>
      <c r="BM119" s="125" t="s">
        <v>260</v>
      </c>
    </row>
    <row r="120" s="125" customFormat="1" hidden="1" customHeight="1" spans="1:65">
      <c r="A120" s="125">
        <v>19</v>
      </c>
      <c r="B120" s="125">
        <v>1</v>
      </c>
      <c r="C120" s="168"/>
      <c r="D120" s="125"/>
      <c r="G120" s="1037" t="s">
        <v>6201</v>
      </c>
      <c r="H120" s="125" t="s">
        <v>6202</v>
      </c>
      <c r="I120" s="1037" t="s">
        <v>6203</v>
      </c>
      <c r="J120" s="163" t="s">
        <v>6204</v>
      </c>
      <c r="K120" s="164">
        <v>134.8</v>
      </c>
      <c r="L120" s="125">
        <v>134.8</v>
      </c>
      <c r="M120" s="125">
        <v>5490</v>
      </c>
      <c r="N120" s="125">
        <v>740052</v>
      </c>
      <c r="O120" s="125">
        <f>5762.32-300</f>
        <v>5462.32</v>
      </c>
      <c r="S120" s="125">
        <f>20000+13052</f>
        <v>33052</v>
      </c>
      <c r="T120" s="168" t="s">
        <v>6205</v>
      </c>
      <c r="V120" s="125" t="s">
        <v>3393</v>
      </c>
      <c r="W120" s="125">
        <v>20000</v>
      </c>
      <c r="X120" s="168">
        <v>46082</v>
      </c>
      <c r="Y120" s="125">
        <v>13052</v>
      </c>
      <c r="Z120" s="168">
        <v>46090</v>
      </c>
      <c r="AI120" s="165">
        <f t="shared" si="15"/>
        <v>33052</v>
      </c>
      <c r="AL120" s="125">
        <f t="shared" si="16"/>
        <v>707000</v>
      </c>
      <c r="AN120" s="125" t="s">
        <v>6178</v>
      </c>
      <c r="AP120" s="125">
        <f t="shared" si="14"/>
        <v>0</v>
      </c>
      <c r="AQ120" s="177">
        <f t="shared" si="17"/>
        <v>0.0092</v>
      </c>
    </row>
    <row r="121" s="125" customFormat="1" hidden="1" customHeight="1" spans="1:65">
      <c r="A121" s="125">
        <v>20</v>
      </c>
      <c r="B121" s="125">
        <v>1</v>
      </c>
      <c r="C121" s="168">
        <v>46095</v>
      </c>
      <c r="D121" s="125">
        <v>20260001191</v>
      </c>
      <c r="G121" s="1037" t="s">
        <v>6206</v>
      </c>
      <c r="H121" s="125" t="s">
        <v>6207</v>
      </c>
      <c r="I121" s="1037" t="s">
        <v>6208</v>
      </c>
      <c r="J121" s="170" t="s">
        <v>6209</v>
      </c>
      <c r="K121" s="164">
        <v>133.94</v>
      </c>
      <c r="L121" s="125">
        <v>133.94</v>
      </c>
      <c r="M121" s="125">
        <v>5786.17</v>
      </c>
      <c r="N121" s="125">
        <v>775000</v>
      </c>
      <c r="O121" s="125">
        <v>5781.32</v>
      </c>
      <c r="P121" s="125"/>
      <c r="Q121" s="125"/>
      <c r="R121" s="125"/>
      <c r="S121" s="125">
        <f>15000+760000</f>
        <v>775000</v>
      </c>
      <c r="T121" s="168" t="s">
        <v>6210</v>
      </c>
      <c r="U121" s="125"/>
      <c r="V121" s="125" t="s">
        <v>370</v>
      </c>
      <c r="W121" s="125">
        <v>15000</v>
      </c>
      <c r="X121" s="168">
        <v>46082</v>
      </c>
      <c r="Y121" s="125">
        <v>760000</v>
      </c>
      <c r="Z121" s="168">
        <v>46095</v>
      </c>
      <c r="AI121" s="165">
        <f t="shared" si="15"/>
        <v>775000</v>
      </c>
      <c r="AL121" s="125">
        <f t="shared" si="16"/>
        <v>0</v>
      </c>
      <c r="AP121" s="125">
        <f t="shared" si="14"/>
        <v>775000</v>
      </c>
      <c r="AQ121" s="177">
        <f>0.7%+0.04%+0.14%+0.03%</f>
        <v>0.0091</v>
      </c>
      <c r="BI121" s="125">
        <v>775000</v>
      </c>
      <c r="BM121" s="125" t="s">
        <v>260</v>
      </c>
    </row>
    <row r="122" s="125" customFormat="1" hidden="1" customHeight="1" spans="1:65">
      <c r="A122" s="125">
        <v>21</v>
      </c>
      <c r="B122" s="125"/>
      <c r="C122" s="168">
        <v>46024</v>
      </c>
      <c r="D122" s="125">
        <v>20260000162</v>
      </c>
      <c r="G122" s="1037" t="s">
        <v>6211</v>
      </c>
      <c r="H122" s="125" t="s">
        <v>6212</v>
      </c>
      <c r="I122" s="1037" t="s">
        <v>6213</v>
      </c>
      <c r="J122" s="163" t="s">
        <v>6214</v>
      </c>
      <c r="K122" s="164">
        <v>134.8</v>
      </c>
      <c r="L122" s="125">
        <v>134.8</v>
      </c>
      <c r="M122" s="125">
        <v>6379.82</v>
      </c>
      <c r="N122" s="125">
        <v>860000</v>
      </c>
      <c r="O122" s="125">
        <f>6647.43-300</f>
        <v>6347.43</v>
      </c>
      <c r="T122" s="168"/>
      <c r="U122" s="125"/>
      <c r="V122" s="125" t="s">
        <v>690</v>
      </c>
      <c r="W122" s="125">
        <v>20000</v>
      </c>
      <c r="X122" s="168">
        <v>45966</v>
      </c>
      <c r="Y122" s="125">
        <v>152000</v>
      </c>
      <c r="Z122" s="168">
        <v>46034</v>
      </c>
      <c r="AA122" s="125">
        <v>688000</v>
      </c>
      <c r="AB122" s="168">
        <v>46043</v>
      </c>
      <c r="AI122" s="165">
        <f t="shared" si="15"/>
        <v>860000</v>
      </c>
      <c r="AL122" s="125">
        <f t="shared" si="16"/>
        <v>0</v>
      </c>
      <c r="AM122" s="125">
        <v>18590388098</v>
      </c>
      <c r="AN122" s="125" t="s">
        <v>3362</v>
      </c>
      <c r="AP122" s="125">
        <f t="shared" si="14"/>
        <v>860000</v>
      </c>
      <c r="AQ122" s="177">
        <f>0.7%+0.08%+0.03%</f>
        <v>0.0081</v>
      </c>
      <c r="BG122" s="125">
        <v>860000</v>
      </c>
      <c r="BM122" s="125" t="s">
        <v>260</v>
      </c>
    </row>
    <row r="123" s="107" customFormat="1" hidden="1" customHeight="1" spans="1:65">
      <c r="A123" s="107">
        <v>22</v>
      </c>
      <c r="B123" s="107"/>
      <c r="C123" s="107"/>
      <c r="D123" s="107"/>
      <c r="J123" s="167" t="s">
        <v>6215</v>
      </c>
      <c r="K123" s="162">
        <v>133.94</v>
      </c>
      <c r="L123" s="107"/>
      <c r="M123" s="107"/>
      <c r="N123" s="107"/>
      <c r="O123" s="107">
        <v>7137.43</v>
      </c>
      <c r="P123" s="107"/>
      <c r="Q123" s="107"/>
      <c r="R123" s="107"/>
      <c r="S123" s="107"/>
      <c r="T123" s="107"/>
      <c r="U123" s="107"/>
      <c r="V123" s="125"/>
      <c r="W123" s="107"/>
      <c r="X123" s="107"/>
      <c r="Y123" s="107"/>
      <c r="Z123" s="107"/>
      <c r="AI123" s="156">
        <f t="shared" si="15"/>
        <v>0</v>
      </c>
      <c r="AP123" s="101">
        <f t="shared" si="14"/>
        <v>0</v>
      </c>
      <c r="AQ123" s="177"/>
    </row>
    <row r="124" s="125" customFormat="1" hidden="1" customHeight="1" spans="1:65">
      <c r="A124" s="125">
        <v>23</v>
      </c>
      <c r="B124" s="125"/>
      <c r="C124" s="168">
        <v>45807</v>
      </c>
      <c r="D124" s="125">
        <v>20250002963</v>
      </c>
      <c r="G124" s="1037" t="s">
        <v>6216</v>
      </c>
      <c r="H124" s="125" t="s">
        <v>6217</v>
      </c>
      <c r="I124" s="125"/>
      <c r="J124" s="163" t="s">
        <v>6218</v>
      </c>
      <c r="K124" s="164">
        <v>122.81</v>
      </c>
      <c r="L124" s="125">
        <v>122.81</v>
      </c>
      <c r="M124" s="125">
        <v>8248.51</v>
      </c>
      <c r="N124" s="125">
        <v>1013000</v>
      </c>
      <c r="O124" s="125">
        <v>8248.51</v>
      </c>
      <c r="P124" s="125"/>
      <c r="Q124" s="125"/>
      <c r="R124" s="125"/>
      <c r="S124" s="125"/>
      <c r="T124" s="168"/>
      <c r="U124" s="125"/>
      <c r="V124" s="125"/>
      <c r="W124" s="125">
        <v>10000</v>
      </c>
      <c r="X124" s="125" t="s">
        <v>6000</v>
      </c>
      <c r="Y124" s="125">
        <f>88000+50000</f>
        <v>138000</v>
      </c>
      <c r="Z124" s="125" t="s">
        <v>4423</v>
      </c>
      <c r="AA124" s="125">
        <v>55000</v>
      </c>
      <c r="AB124" s="168">
        <v>45831</v>
      </c>
      <c r="AC124" s="125">
        <v>810000</v>
      </c>
      <c r="AD124" s="168">
        <v>45849</v>
      </c>
      <c r="AI124" s="165">
        <f t="shared" si="15"/>
        <v>1013000</v>
      </c>
      <c r="AL124" s="125">
        <f>N124-AI124</f>
        <v>0</v>
      </c>
      <c r="AM124" s="125">
        <v>18099463321</v>
      </c>
      <c r="AN124" s="125" t="s">
        <v>6001</v>
      </c>
      <c r="AP124" s="165">
        <f t="shared" si="14"/>
        <v>1013000</v>
      </c>
      <c r="AQ124" s="177">
        <f>0.4%+0.02%+0.08%+0.03%</f>
        <v>0.0053</v>
      </c>
      <c r="AZ124" s="125">
        <v>203000</v>
      </c>
      <c r="BA124" s="125">
        <v>810000</v>
      </c>
      <c r="BM124" s="125" t="s">
        <v>260</v>
      </c>
    </row>
    <row r="125" s="125" customFormat="1" hidden="1" customHeight="1" spans="1:65">
      <c r="A125" s="125">
        <v>24</v>
      </c>
      <c r="B125" s="125"/>
      <c r="C125" s="168">
        <v>45778</v>
      </c>
      <c r="D125" s="125">
        <v>20250002346</v>
      </c>
      <c r="G125" s="1037" t="s">
        <v>6219</v>
      </c>
      <c r="H125" s="125" t="s">
        <v>6220</v>
      </c>
      <c r="I125" s="125"/>
      <c r="J125" s="170" t="s">
        <v>6221</v>
      </c>
      <c r="K125" s="164">
        <v>123.98</v>
      </c>
      <c r="L125" s="125">
        <v>123.98</v>
      </c>
      <c r="M125" s="174">
        <v>7904.5</v>
      </c>
      <c r="N125" s="125">
        <v>980000</v>
      </c>
      <c r="O125" s="125">
        <v>7904.5</v>
      </c>
      <c r="P125" s="125"/>
      <c r="Q125" s="125"/>
      <c r="R125" s="125"/>
      <c r="S125" s="125"/>
      <c r="T125" s="168"/>
      <c r="U125" s="125"/>
      <c r="V125" s="125"/>
      <c r="W125" s="125">
        <v>20000</v>
      </c>
      <c r="X125" s="125" t="s">
        <v>3131</v>
      </c>
      <c r="Y125" s="125">
        <v>142000</v>
      </c>
      <c r="Z125" s="125" t="s">
        <v>3563</v>
      </c>
      <c r="AA125" s="125">
        <v>34000</v>
      </c>
      <c r="AB125" s="125" t="s">
        <v>839</v>
      </c>
      <c r="AC125" s="125">
        <v>784000</v>
      </c>
      <c r="AD125" s="168">
        <v>45849</v>
      </c>
      <c r="AI125" s="165">
        <f t="shared" si="15"/>
        <v>980000</v>
      </c>
      <c r="AL125" s="125">
        <f>N125-AI125</f>
        <v>0</v>
      </c>
      <c r="AM125" s="125">
        <v>13999220432</v>
      </c>
      <c r="AN125" s="125" t="s">
        <v>3362</v>
      </c>
      <c r="AP125" s="165">
        <f t="shared" si="14"/>
        <v>980000</v>
      </c>
      <c r="AQ125" s="177">
        <f>0.4%+0.02%+0.08%+0.03%</f>
        <v>0.0053</v>
      </c>
      <c r="AY125" s="125">
        <v>162000</v>
      </c>
      <c r="AZ125" s="125">
        <v>196000</v>
      </c>
      <c r="BA125" s="125">
        <v>622000</v>
      </c>
      <c r="BM125" s="125" t="s">
        <v>260</v>
      </c>
    </row>
    <row r="126" s="107" customFormat="1" hidden="1" customHeight="1" spans="1:65">
      <c r="A126" s="107">
        <v>25</v>
      </c>
      <c r="B126" s="107"/>
      <c r="C126" s="107"/>
      <c r="D126" s="107"/>
      <c r="J126" s="161" t="s">
        <v>6222</v>
      </c>
      <c r="K126" s="162">
        <v>133.94</v>
      </c>
      <c r="L126" s="107"/>
      <c r="M126" s="107"/>
      <c r="N126" s="107"/>
      <c r="O126" s="107">
        <v>5784.06</v>
      </c>
      <c r="P126" s="107"/>
      <c r="Q126" s="107"/>
      <c r="R126" s="107"/>
      <c r="S126" s="107"/>
      <c r="T126" s="107"/>
      <c r="U126" s="107"/>
      <c r="V126" s="125"/>
      <c r="W126" s="107"/>
      <c r="X126" s="107"/>
      <c r="Y126" s="107"/>
      <c r="Z126" s="107"/>
      <c r="AI126" s="156">
        <f t="shared" si="15"/>
        <v>0</v>
      </c>
      <c r="AP126" s="101">
        <f t="shared" si="14"/>
        <v>0</v>
      </c>
      <c r="AQ126" s="177"/>
    </row>
    <row r="127" s="107" customFormat="1" hidden="1" customHeight="1" spans="1:65">
      <c r="A127" s="107">
        <v>26</v>
      </c>
      <c r="B127" s="107"/>
      <c r="C127" s="107"/>
      <c r="D127" s="107"/>
      <c r="J127" s="167" t="s">
        <v>6223</v>
      </c>
      <c r="K127" s="162">
        <v>134.8</v>
      </c>
      <c r="L127" s="107"/>
      <c r="M127" s="107"/>
      <c r="N127" s="107"/>
      <c r="O127" s="107">
        <v>5789.06</v>
      </c>
      <c r="P127" s="107"/>
      <c r="Q127" s="107"/>
      <c r="R127" s="107"/>
      <c r="S127" s="107"/>
      <c r="T127" s="107"/>
      <c r="U127" s="107"/>
      <c r="V127" s="125"/>
      <c r="W127" s="107"/>
      <c r="X127" s="107"/>
      <c r="Y127" s="107"/>
      <c r="Z127" s="107"/>
      <c r="AI127" s="156">
        <f t="shared" si="15"/>
        <v>0</v>
      </c>
      <c r="AP127" s="101">
        <f t="shared" si="14"/>
        <v>0</v>
      </c>
      <c r="AQ127" s="177"/>
    </row>
    <row r="128" s="155" customFormat="1" hidden="1" customHeight="1" spans="1:65">
      <c r="A128" s="155">
        <v>27</v>
      </c>
      <c r="B128" s="155"/>
      <c r="C128" s="185">
        <v>45994</v>
      </c>
      <c r="D128" s="155">
        <v>20250006166</v>
      </c>
      <c r="G128" s="1044" t="s">
        <v>6224</v>
      </c>
      <c r="H128" s="155" t="s">
        <v>4085</v>
      </c>
      <c r="I128" s="155"/>
      <c r="J128" s="186" t="s">
        <v>6225</v>
      </c>
      <c r="K128" s="187">
        <v>133.94</v>
      </c>
      <c r="L128" s="155">
        <v>133.94</v>
      </c>
      <c r="M128" s="155">
        <v>5300</v>
      </c>
      <c r="N128" s="155">
        <v>709882</v>
      </c>
      <c r="O128" s="155">
        <v>5488.72</v>
      </c>
      <c r="P128" s="125" t="s">
        <v>660</v>
      </c>
      <c r="Q128" s="155"/>
      <c r="R128" s="155"/>
      <c r="S128" s="155"/>
      <c r="T128" s="185"/>
      <c r="U128" s="155"/>
      <c r="V128" s="155" t="s">
        <v>5786</v>
      </c>
      <c r="W128" s="155">
        <v>10000</v>
      </c>
      <c r="X128" s="185">
        <v>45984</v>
      </c>
      <c r="Y128" s="155">
        <v>98882</v>
      </c>
      <c r="Z128" s="185">
        <v>45994</v>
      </c>
      <c r="AA128" s="155">
        <v>51000</v>
      </c>
      <c r="AB128" s="185">
        <v>46003</v>
      </c>
      <c r="AC128" s="155">
        <v>550000</v>
      </c>
      <c r="AD128" s="185">
        <v>46016</v>
      </c>
      <c r="AI128" s="188">
        <f t="shared" si="15"/>
        <v>709882</v>
      </c>
      <c r="AL128" s="155">
        <f>N128-AI128</f>
        <v>0</v>
      </c>
      <c r="AM128" s="155">
        <v>15123334058</v>
      </c>
      <c r="AP128" s="155">
        <f t="shared" si="14"/>
        <v>709882</v>
      </c>
      <c r="AQ128" s="177">
        <f>0.7%+0.03%+0.08%+0.03%</f>
        <v>0.0084</v>
      </c>
      <c r="BF128" s="155">
        <v>709882</v>
      </c>
      <c r="BK128" s="125"/>
      <c r="BM128" s="125" t="s">
        <v>3258</v>
      </c>
    </row>
    <row r="129" s="125" customFormat="1" hidden="1" customHeight="1" spans="1:65">
      <c r="A129" s="125">
        <v>28</v>
      </c>
      <c r="B129" s="125"/>
      <c r="C129" s="168">
        <v>45715</v>
      </c>
      <c r="D129" s="125">
        <v>20250000882</v>
      </c>
      <c r="G129" s="1037" t="s">
        <v>6226</v>
      </c>
      <c r="H129" s="125" t="s">
        <v>6227</v>
      </c>
      <c r="I129" s="125"/>
      <c r="J129" s="163" t="s">
        <v>6228</v>
      </c>
      <c r="K129" s="164">
        <v>134.8</v>
      </c>
      <c r="L129" s="125">
        <v>134.8</v>
      </c>
      <c r="M129" s="125">
        <v>5500</v>
      </c>
      <c r="N129" s="125">
        <v>741400</v>
      </c>
      <c r="O129" s="125">
        <v>5843.72</v>
      </c>
      <c r="P129" s="125"/>
      <c r="Q129" s="125"/>
      <c r="R129" s="125"/>
      <c r="S129" s="125"/>
      <c r="T129" s="125"/>
      <c r="U129" s="125"/>
      <c r="V129" s="125" t="s">
        <v>380</v>
      </c>
      <c r="W129" s="125">
        <v>20000</v>
      </c>
      <c r="X129" s="125" t="s">
        <v>671</v>
      </c>
      <c r="Y129" s="125">
        <f>81400+50000</f>
        <v>131400</v>
      </c>
      <c r="Z129" s="125" t="s">
        <v>3350</v>
      </c>
      <c r="AA129" s="125">
        <v>590000</v>
      </c>
      <c r="AB129" s="125" t="s">
        <v>3351</v>
      </c>
      <c r="AI129" s="165">
        <f t="shared" si="15"/>
        <v>741400</v>
      </c>
      <c r="AL129" s="125">
        <f t="shared" ref="AL129:AL143" si="18">N129-AI129</f>
        <v>0</v>
      </c>
      <c r="AM129" s="125">
        <v>17393148471</v>
      </c>
      <c r="AN129" s="125" t="s">
        <v>3362</v>
      </c>
      <c r="AP129" s="165">
        <f t="shared" si="14"/>
        <v>741400</v>
      </c>
      <c r="AQ129" s="177">
        <f>0.4%+0.04%+0.12%+0.03%</f>
        <v>0.0059</v>
      </c>
      <c r="AV129" s="125">
        <v>151400</v>
      </c>
      <c r="AX129" s="125">
        <v>590000</v>
      </c>
      <c r="BM129" s="125" t="s">
        <v>260</v>
      </c>
    </row>
    <row r="130" s="125" customFormat="1" hidden="1" customHeight="1" spans="1:65">
      <c r="A130" s="125">
        <v>29</v>
      </c>
      <c r="B130" s="125"/>
      <c r="C130" s="168">
        <v>45873</v>
      </c>
      <c r="D130" s="125">
        <v>20250004067</v>
      </c>
      <c r="G130" s="1037" t="s">
        <v>6229</v>
      </c>
      <c r="H130" s="125" t="s">
        <v>6230</v>
      </c>
      <c r="I130" s="1037" t="s">
        <v>6231</v>
      </c>
      <c r="J130" s="170" t="s">
        <v>6232</v>
      </c>
      <c r="K130" s="164">
        <v>133.94</v>
      </c>
      <c r="L130" s="125">
        <v>133.94</v>
      </c>
      <c r="M130" s="125">
        <v>5850</v>
      </c>
      <c r="N130" s="125">
        <v>783549</v>
      </c>
      <c r="O130" s="125">
        <v>5871.32</v>
      </c>
      <c r="P130" s="125"/>
      <c r="Q130" s="125"/>
      <c r="R130" s="125"/>
      <c r="S130" s="125"/>
      <c r="T130" s="168"/>
      <c r="U130" s="125"/>
      <c r="V130" s="125" t="s">
        <v>257</v>
      </c>
      <c r="W130" s="125">
        <v>20000</v>
      </c>
      <c r="X130" s="168" t="s">
        <v>6233</v>
      </c>
      <c r="Y130" s="125">
        <f>46549+100000+167000</f>
        <v>313549</v>
      </c>
      <c r="Z130" s="168" t="s">
        <v>6234</v>
      </c>
      <c r="AA130" s="125">
        <v>450000</v>
      </c>
      <c r="AB130" s="168">
        <v>45923</v>
      </c>
      <c r="AI130" s="165">
        <f t="shared" si="15"/>
        <v>783549</v>
      </c>
      <c r="AL130" s="125">
        <f t="shared" si="18"/>
        <v>0</v>
      </c>
      <c r="AM130" s="125">
        <v>18699607991</v>
      </c>
      <c r="AN130" s="125" t="s">
        <v>5905</v>
      </c>
      <c r="AP130" s="125">
        <f t="shared" si="14"/>
        <v>783549</v>
      </c>
      <c r="AQ130" s="177">
        <f>0.7%+0.03%+0.08%+0.03%</f>
        <v>0.0084</v>
      </c>
      <c r="BB130" s="125">
        <v>333549</v>
      </c>
      <c r="BC130" s="125">
        <v>450000</v>
      </c>
      <c r="BM130" s="125" t="s">
        <v>2707</v>
      </c>
    </row>
    <row r="131" s="125" customFormat="1" hidden="1" customHeight="1" spans="1:65">
      <c r="A131" s="125">
        <v>30</v>
      </c>
      <c r="B131" s="125"/>
      <c r="C131" s="168">
        <v>45935</v>
      </c>
      <c r="D131" s="125">
        <v>20250005114</v>
      </c>
      <c r="G131" s="1037" t="s">
        <v>6235</v>
      </c>
      <c r="H131" s="125" t="s">
        <v>6236</v>
      </c>
      <c r="I131" s="1037" t="s">
        <v>6237</v>
      </c>
      <c r="J131" s="170" t="s">
        <v>6238</v>
      </c>
      <c r="K131" s="164">
        <v>134.8</v>
      </c>
      <c r="L131" s="125">
        <v>134.8</v>
      </c>
      <c r="M131" s="125">
        <v>5267.06</v>
      </c>
      <c r="N131" s="125">
        <v>710000</v>
      </c>
      <c r="O131" s="125">
        <f>5526.32-300</f>
        <v>5226.32</v>
      </c>
      <c r="T131" s="168"/>
      <c r="U131" s="125"/>
      <c r="V131" s="125" t="s">
        <v>5948</v>
      </c>
      <c r="W131" s="125">
        <v>142000</v>
      </c>
      <c r="X131" s="168">
        <v>45920</v>
      </c>
      <c r="Y131" s="125">
        <v>568000</v>
      </c>
      <c r="Z131" s="168">
        <v>46002</v>
      </c>
      <c r="AA131" s="125"/>
      <c r="AB131" s="125"/>
      <c r="AC131" s="125"/>
      <c r="AD131" s="125"/>
      <c r="AE131" s="125"/>
      <c r="AF131" s="125"/>
      <c r="AG131" s="125"/>
      <c r="AH131" s="125"/>
      <c r="AI131" s="165">
        <f t="shared" si="15"/>
        <v>710000</v>
      </c>
      <c r="AL131" s="125">
        <f t="shared" si="18"/>
        <v>0</v>
      </c>
      <c r="AM131" s="125">
        <v>15276158237</v>
      </c>
      <c r="AN131" s="125" t="s">
        <v>3362</v>
      </c>
      <c r="AO131" s="125"/>
      <c r="AP131" s="125">
        <f t="shared" si="14"/>
        <v>710000</v>
      </c>
      <c r="AQ131" s="177">
        <f>0.7%+0.03%+0.08%+0.03%</f>
        <v>0.0084</v>
      </c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D131" s="125">
        <v>142000</v>
      </c>
      <c r="BF131" s="125">
        <v>568000</v>
      </c>
      <c r="BM131" s="125" t="s">
        <v>3258</v>
      </c>
    </row>
    <row r="132" s="125" customFormat="1" hidden="1" customHeight="1" spans="1:65">
      <c r="A132" s="125">
        <v>31</v>
      </c>
      <c r="B132" s="125"/>
      <c r="C132" s="168">
        <v>45778</v>
      </c>
      <c r="D132" s="125">
        <v>20250002292</v>
      </c>
      <c r="G132" s="1037" t="s">
        <v>6239</v>
      </c>
      <c r="H132" s="125" t="s">
        <v>6240</v>
      </c>
      <c r="I132" s="125"/>
      <c r="J132" s="170" t="s">
        <v>6241</v>
      </c>
      <c r="K132" s="164">
        <v>133.94</v>
      </c>
      <c r="L132" s="125">
        <v>133.94</v>
      </c>
      <c r="M132" s="125">
        <v>5897.74</v>
      </c>
      <c r="N132" s="125">
        <v>789943</v>
      </c>
      <c r="O132" s="125">
        <v>5897.74</v>
      </c>
      <c r="P132" s="125"/>
      <c r="Q132" s="125"/>
      <c r="R132" s="125"/>
      <c r="S132" s="125"/>
      <c r="T132" s="125"/>
      <c r="U132" s="125"/>
      <c r="V132" s="125"/>
      <c r="W132" s="125">
        <v>20000</v>
      </c>
      <c r="X132" s="125" t="s">
        <v>6242</v>
      </c>
      <c r="Y132" s="125">
        <v>105943</v>
      </c>
      <c r="Z132" s="125" t="s">
        <v>3283</v>
      </c>
      <c r="AA132" s="125">
        <v>34000</v>
      </c>
      <c r="AB132" s="125" t="s">
        <v>3563</v>
      </c>
      <c r="AC132" s="125">
        <v>630000</v>
      </c>
      <c r="AD132" s="125" t="s">
        <v>3508</v>
      </c>
      <c r="AI132" s="165">
        <f t="shared" si="15"/>
        <v>789943</v>
      </c>
      <c r="AL132" s="125">
        <f t="shared" si="18"/>
        <v>0</v>
      </c>
      <c r="AM132" s="125">
        <v>13779698899</v>
      </c>
      <c r="AN132" s="125"/>
      <c r="AP132" s="165">
        <f t="shared" si="14"/>
        <v>789943</v>
      </c>
      <c r="AQ132" s="177">
        <f>0.4%+0.02%+0.08%+0.03%</f>
        <v>0.0053</v>
      </c>
      <c r="AY132" s="125">
        <v>159943</v>
      </c>
      <c r="AZ132" s="125">
        <v>630000</v>
      </c>
      <c r="BM132" s="125" t="s">
        <v>260</v>
      </c>
    </row>
    <row r="133" s="125" customFormat="1" hidden="1" customHeight="1" spans="1:65">
      <c r="A133" s="125">
        <v>32</v>
      </c>
      <c r="B133" s="125"/>
      <c r="C133" s="168">
        <v>45694</v>
      </c>
      <c r="D133" s="125">
        <v>20250000520</v>
      </c>
      <c r="G133" s="1037" t="s">
        <v>6243</v>
      </c>
      <c r="H133" s="125" t="s">
        <v>6244</v>
      </c>
      <c r="I133" s="1037" t="s">
        <v>6245</v>
      </c>
      <c r="J133" s="170" t="s">
        <v>6246</v>
      </c>
      <c r="K133" s="164">
        <v>134.8</v>
      </c>
      <c r="L133" s="125">
        <v>134.8</v>
      </c>
      <c r="M133" s="125">
        <v>5850</v>
      </c>
      <c r="N133" s="125">
        <v>788580</v>
      </c>
      <c r="O133" s="125">
        <v>5850</v>
      </c>
      <c r="P133" s="125"/>
      <c r="Q133" s="125"/>
      <c r="R133" s="125"/>
      <c r="S133" s="125"/>
      <c r="T133" s="125"/>
      <c r="U133" s="125"/>
      <c r="V133" s="125" t="s">
        <v>277</v>
      </c>
      <c r="W133" s="125">
        <v>10000</v>
      </c>
      <c r="X133" s="125" t="s">
        <v>3349</v>
      </c>
      <c r="Y133" s="125">
        <v>18580</v>
      </c>
      <c r="Z133" s="125" t="s">
        <v>507</v>
      </c>
      <c r="AA133" s="125">
        <v>160000</v>
      </c>
      <c r="AB133" s="125" t="s">
        <v>3466</v>
      </c>
      <c r="AC133" s="125">
        <v>600000</v>
      </c>
      <c r="AD133" s="125" t="s">
        <v>794</v>
      </c>
      <c r="AI133" s="165">
        <f t="shared" ref="AI133:AI167" si="19">W133+Y133+AA133+AC133+AE133+AG133</f>
        <v>788580</v>
      </c>
      <c r="AL133" s="125">
        <f t="shared" si="18"/>
        <v>0</v>
      </c>
      <c r="AM133" s="125">
        <v>15886864800</v>
      </c>
      <c r="AN133" s="125" t="s">
        <v>6200</v>
      </c>
      <c r="AP133" s="165">
        <f t="shared" ref="AP133:AP146" si="20">SUM(AR133:BJ133)</f>
        <v>788580</v>
      </c>
      <c r="AQ133" s="177">
        <f>0.6%+0.04%+0.12%+0.03%</f>
        <v>0.0079</v>
      </c>
      <c r="AV133" s="125">
        <v>188580</v>
      </c>
      <c r="AW133" s="125">
        <v>600000</v>
      </c>
      <c r="BM133" s="125" t="s">
        <v>260</v>
      </c>
    </row>
    <row r="134" s="125" customFormat="1" hidden="1" customHeight="1" spans="1:65">
      <c r="A134" s="125">
        <v>33</v>
      </c>
      <c r="B134" s="125"/>
      <c r="C134" s="168">
        <v>45710</v>
      </c>
      <c r="D134" s="125">
        <v>20250000775</v>
      </c>
      <c r="G134" s="1037" t="s">
        <v>6247</v>
      </c>
      <c r="H134" s="125" t="s">
        <v>6248</v>
      </c>
      <c r="I134" s="1037" t="s">
        <v>6249</v>
      </c>
      <c r="J134" s="170" t="s">
        <v>6250</v>
      </c>
      <c r="K134" s="164">
        <v>133.94</v>
      </c>
      <c r="L134" s="125">
        <v>133.94</v>
      </c>
      <c r="M134" s="125">
        <v>5935.49</v>
      </c>
      <c r="N134" s="125">
        <v>795000</v>
      </c>
      <c r="O134" s="125">
        <v>6014.59</v>
      </c>
      <c r="P134" s="125"/>
      <c r="Q134" s="125"/>
      <c r="R134" s="125"/>
      <c r="S134" s="125"/>
      <c r="T134" s="125"/>
      <c r="U134" s="125"/>
      <c r="V134" s="125" t="s">
        <v>267</v>
      </c>
      <c r="W134" s="125">
        <v>20000</v>
      </c>
      <c r="X134" s="125" t="s">
        <v>6251</v>
      </c>
      <c r="Y134" s="125">
        <v>275000</v>
      </c>
      <c r="Z134" s="125" t="s">
        <v>410</v>
      </c>
      <c r="AA134" s="125">
        <v>500000</v>
      </c>
      <c r="AB134" s="125" t="s">
        <v>5805</v>
      </c>
      <c r="AI134" s="165">
        <f t="shared" si="19"/>
        <v>795000</v>
      </c>
      <c r="AL134" s="125">
        <f t="shared" si="18"/>
        <v>0</v>
      </c>
      <c r="AM134" s="125">
        <v>15276142737</v>
      </c>
      <c r="AN134" s="125" t="s">
        <v>6200</v>
      </c>
      <c r="AP134" s="165">
        <f t="shared" si="20"/>
        <v>795000</v>
      </c>
      <c r="AQ134" s="177">
        <f>0.7%+0.12%+0.03%</f>
        <v>0.0085</v>
      </c>
      <c r="AW134" s="125">
        <v>795000</v>
      </c>
      <c r="BM134" s="125" t="s">
        <v>260</v>
      </c>
    </row>
    <row r="135" s="125" customFormat="1" ht="33" hidden="1" customHeight="1" spans="1:65">
      <c r="A135" s="125">
        <v>34</v>
      </c>
      <c r="B135" s="125"/>
      <c r="C135" s="168">
        <v>45778</v>
      </c>
      <c r="D135" s="125">
        <v>20250002237</v>
      </c>
      <c r="G135" s="1037" t="s">
        <v>6252</v>
      </c>
      <c r="H135" s="175" t="s">
        <v>6253</v>
      </c>
      <c r="I135" s="1037" t="s">
        <v>4599</v>
      </c>
      <c r="J135" s="170" t="s">
        <v>6254</v>
      </c>
      <c r="K135" s="164">
        <v>134.8</v>
      </c>
      <c r="L135" s="125">
        <v>134.8</v>
      </c>
      <c r="M135" s="125">
        <v>5953</v>
      </c>
      <c r="N135" s="125">
        <v>802464</v>
      </c>
      <c r="O135" s="125">
        <v>5669.59</v>
      </c>
      <c r="P135" s="125"/>
      <c r="Q135" s="125"/>
      <c r="R135" s="125"/>
      <c r="S135" s="125"/>
      <c r="T135" s="125"/>
      <c r="U135" s="125"/>
      <c r="V135" s="125"/>
      <c r="W135" s="125">
        <f>10000-10000</f>
        <v>0</v>
      </c>
      <c r="X135" s="125" t="s">
        <v>6255</v>
      </c>
      <c r="Y135" s="125">
        <v>20000</v>
      </c>
      <c r="Z135" s="125" t="s">
        <v>6256</v>
      </c>
      <c r="AA135" s="125">
        <v>172464</v>
      </c>
      <c r="AB135" s="125" t="s">
        <v>3563</v>
      </c>
      <c r="AC135" s="125">
        <v>50000</v>
      </c>
      <c r="AD135" s="125" t="s">
        <v>3343</v>
      </c>
      <c r="AE135" s="125">
        <v>560000</v>
      </c>
      <c r="AF135" s="125" t="s">
        <v>2957</v>
      </c>
      <c r="AI135" s="165">
        <f t="shared" si="19"/>
        <v>802464</v>
      </c>
      <c r="AL135" s="125">
        <f t="shared" si="18"/>
        <v>0</v>
      </c>
      <c r="AM135" s="125">
        <v>18799093389</v>
      </c>
      <c r="AN135" s="125" t="s">
        <v>6200</v>
      </c>
      <c r="AP135" s="165">
        <f t="shared" si="20"/>
        <v>802464</v>
      </c>
      <c r="AQ135" s="177">
        <f>0.7%+0.08%+0.03%</f>
        <v>0.0081</v>
      </c>
      <c r="AY135" s="125">
        <v>242464</v>
      </c>
      <c r="AZ135" s="125">
        <v>560000</v>
      </c>
      <c r="BM135" s="125" t="s">
        <v>260</v>
      </c>
    </row>
    <row r="136" s="125" customFormat="1" hidden="1" customHeight="1" spans="1:65">
      <c r="A136" s="125">
        <v>35</v>
      </c>
      <c r="B136" s="125"/>
      <c r="C136" s="168">
        <v>45644</v>
      </c>
      <c r="D136" s="125">
        <v>20240007336</v>
      </c>
      <c r="G136" s="1037" t="s">
        <v>6257</v>
      </c>
      <c r="H136" s="125" t="s">
        <v>6258</v>
      </c>
      <c r="I136" s="1037" t="s">
        <v>6259</v>
      </c>
      <c r="J136" s="170" t="s">
        <v>6260</v>
      </c>
      <c r="K136" s="164">
        <v>133.94</v>
      </c>
      <c r="L136" s="125">
        <v>133.94</v>
      </c>
      <c r="M136" s="125">
        <v>5786.17</v>
      </c>
      <c r="N136" s="125">
        <v>775000</v>
      </c>
      <c r="O136" s="125">
        <v>6063.5</v>
      </c>
      <c r="P136" s="125"/>
      <c r="Q136" s="125"/>
      <c r="R136" s="125"/>
      <c r="S136" s="125"/>
      <c r="T136" s="125"/>
      <c r="U136" s="125"/>
      <c r="V136" s="125" t="s">
        <v>656</v>
      </c>
      <c r="W136" s="125">
        <f>175000+20000</f>
        <v>195000</v>
      </c>
      <c r="X136" s="125" t="s">
        <v>6261</v>
      </c>
      <c r="Y136" s="125">
        <v>580000</v>
      </c>
      <c r="Z136" s="125" t="s">
        <v>506</v>
      </c>
      <c r="AI136" s="165">
        <f t="shared" si="19"/>
        <v>775000</v>
      </c>
      <c r="AL136" s="125">
        <f t="shared" si="18"/>
        <v>0</v>
      </c>
      <c r="AM136" s="125">
        <v>13036585672</v>
      </c>
      <c r="AN136" s="125" t="s">
        <v>3332</v>
      </c>
      <c r="AP136" s="165">
        <f t="shared" si="20"/>
        <v>775000</v>
      </c>
      <c r="AQ136" s="177">
        <f>0.6%+0.04%+0.12%+0.03%</f>
        <v>0.0079</v>
      </c>
      <c r="AT136" s="125">
        <v>195000</v>
      </c>
      <c r="AU136" s="125">
        <v>580000</v>
      </c>
      <c r="BM136" s="125" t="s">
        <v>260</v>
      </c>
    </row>
    <row r="137" s="125" customFormat="1" hidden="1" customHeight="1" spans="1:65">
      <c r="A137" s="125">
        <v>36</v>
      </c>
      <c r="B137" s="125"/>
      <c r="C137" s="168">
        <v>45724</v>
      </c>
      <c r="D137" s="125">
        <v>20250001143</v>
      </c>
      <c r="G137" s="1037" t="s">
        <v>6262</v>
      </c>
      <c r="H137" s="125" t="s">
        <v>6263</v>
      </c>
      <c r="I137" s="1037" t="s">
        <v>6264</v>
      </c>
      <c r="J137" s="170" t="s">
        <v>6265</v>
      </c>
      <c r="K137" s="164">
        <v>134.8</v>
      </c>
      <c r="L137" s="125">
        <v>134.8</v>
      </c>
      <c r="M137" s="125">
        <v>6001.48</v>
      </c>
      <c r="N137" s="125">
        <v>809000</v>
      </c>
      <c r="O137" s="125">
        <v>6001.48</v>
      </c>
      <c r="P137" s="125"/>
      <c r="Q137" s="125"/>
      <c r="R137" s="125"/>
      <c r="S137" s="125"/>
      <c r="T137" s="125"/>
      <c r="U137" s="125"/>
      <c r="V137" s="125" t="s">
        <v>284</v>
      </c>
      <c r="W137" s="125">
        <v>20000</v>
      </c>
      <c r="X137" s="125" t="s">
        <v>3898</v>
      </c>
      <c r="Y137" s="125">
        <v>92000</v>
      </c>
      <c r="Z137" s="125" t="s">
        <v>4912</v>
      </c>
      <c r="AA137" s="125">
        <v>50000</v>
      </c>
      <c r="AB137" s="125" t="s">
        <v>3341</v>
      </c>
      <c r="AC137" s="125">
        <v>647000</v>
      </c>
      <c r="AD137" s="125" t="s">
        <v>2689</v>
      </c>
      <c r="AI137" s="165">
        <f t="shared" si="19"/>
        <v>809000</v>
      </c>
      <c r="AL137" s="125">
        <f t="shared" si="18"/>
        <v>0</v>
      </c>
      <c r="AM137" s="125">
        <v>18154898660</v>
      </c>
      <c r="AN137" s="125" t="s">
        <v>3536</v>
      </c>
      <c r="AP137" s="165">
        <f t="shared" si="20"/>
        <v>809000</v>
      </c>
      <c r="AQ137" s="177">
        <f>0.5%+0.02%+0.08%+0.03%</f>
        <v>0.0063</v>
      </c>
      <c r="AW137" s="125">
        <v>162000</v>
      </c>
      <c r="AX137" s="125">
        <v>647000</v>
      </c>
      <c r="BM137" s="125" t="s">
        <v>260</v>
      </c>
    </row>
    <row r="138" s="125" customFormat="1" hidden="1" customHeight="1" spans="1:65">
      <c r="A138" s="125">
        <v>37</v>
      </c>
      <c r="B138" s="125"/>
      <c r="C138" s="168">
        <v>45778</v>
      </c>
      <c r="D138" s="125">
        <v>20250002316</v>
      </c>
      <c r="G138" s="1037" t="s">
        <v>6266</v>
      </c>
      <c r="H138" s="125" t="s">
        <v>6267</v>
      </c>
      <c r="I138" s="125"/>
      <c r="J138" s="170" t="s">
        <v>6268</v>
      </c>
      <c r="K138" s="164">
        <v>133.94</v>
      </c>
      <c r="L138" s="125">
        <v>133.94</v>
      </c>
      <c r="M138" s="125">
        <v>5748.84</v>
      </c>
      <c r="N138" s="125">
        <v>770000</v>
      </c>
      <c r="O138" s="125">
        <v>5748.84</v>
      </c>
      <c r="P138" s="125"/>
      <c r="Q138" s="125"/>
      <c r="R138" s="125"/>
      <c r="S138" s="125"/>
      <c r="T138" s="168"/>
      <c r="U138" s="125"/>
      <c r="V138" s="125"/>
      <c r="W138" s="125">
        <v>10000</v>
      </c>
      <c r="X138" s="125" t="s">
        <v>3105</v>
      </c>
      <c r="Y138" s="125">
        <v>4000</v>
      </c>
      <c r="Z138" s="125" t="s">
        <v>3563</v>
      </c>
      <c r="AA138" s="125">
        <v>216000</v>
      </c>
      <c r="AB138" s="125" t="s">
        <v>3035</v>
      </c>
      <c r="AC138" s="125">
        <v>540000</v>
      </c>
      <c r="AD138" s="168">
        <v>45849</v>
      </c>
      <c r="AI138" s="165">
        <f t="shared" si="19"/>
        <v>770000</v>
      </c>
      <c r="AL138" s="125">
        <f t="shared" si="18"/>
        <v>0</v>
      </c>
      <c r="AM138" s="125">
        <v>18690686030</v>
      </c>
      <c r="AN138" s="125" t="s">
        <v>3362</v>
      </c>
      <c r="AP138" s="165">
        <f t="shared" si="20"/>
        <v>770000</v>
      </c>
      <c r="AQ138" s="177">
        <f>0.4%+0.02%+0.08%+0.03%</f>
        <v>0.0053</v>
      </c>
      <c r="AY138" s="125">
        <v>230000</v>
      </c>
      <c r="BA138" s="125">
        <v>540000</v>
      </c>
      <c r="BM138" s="125" t="s">
        <v>260</v>
      </c>
    </row>
    <row r="139" s="125" customFormat="1" hidden="1" customHeight="1" spans="1:65">
      <c r="A139" s="125">
        <v>38</v>
      </c>
      <c r="B139" s="125"/>
      <c r="C139" s="168">
        <v>45780</v>
      </c>
      <c r="D139" s="125">
        <v>20250002436</v>
      </c>
      <c r="G139" s="1037" t="s">
        <v>6269</v>
      </c>
      <c r="H139" s="125" t="s">
        <v>6270</v>
      </c>
      <c r="I139" s="1037" t="s">
        <v>6271</v>
      </c>
      <c r="J139" s="170" t="s">
        <v>6272</v>
      </c>
      <c r="K139" s="164">
        <v>134.8</v>
      </c>
      <c r="L139" s="125">
        <v>134.8</v>
      </c>
      <c r="M139" s="125">
        <v>5800</v>
      </c>
      <c r="N139" s="125">
        <v>781840</v>
      </c>
      <c r="O139" s="125">
        <v>5800</v>
      </c>
      <c r="P139" s="125"/>
      <c r="Q139" s="125"/>
      <c r="R139" s="125"/>
      <c r="S139" s="125"/>
      <c r="T139" s="125"/>
      <c r="U139" s="125"/>
      <c r="V139" s="125" t="s">
        <v>656</v>
      </c>
      <c r="W139" s="125">
        <v>20000</v>
      </c>
      <c r="X139" s="125" t="s">
        <v>3669</v>
      </c>
      <c r="Y139" s="125">
        <v>761840</v>
      </c>
      <c r="Z139" s="125" t="s">
        <v>2689</v>
      </c>
      <c r="AI139" s="165">
        <f t="shared" si="19"/>
        <v>781840</v>
      </c>
      <c r="AL139" s="125">
        <f t="shared" si="18"/>
        <v>0</v>
      </c>
      <c r="AM139" s="125">
        <v>18999610957</v>
      </c>
      <c r="AN139" s="125" t="s">
        <v>6273</v>
      </c>
      <c r="AP139" s="165">
        <f t="shared" si="20"/>
        <v>781840</v>
      </c>
      <c r="AQ139" s="177">
        <f>0.7%+0.02%+0.08%+0.03%</f>
        <v>0.0083</v>
      </c>
      <c r="AY139" s="125">
        <v>781840</v>
      </c>
      <c r="BM139" s="125" t="s">
        <v>260</v>
      </c>
    </row>
    <row r="140" s="125" customFormat="1" hidden="1" customHeight="1" spans="1:65">
      <c r="A140" s="125">
        <v>39</v>
      </c>
      <c r="B140" s="125"/>
      <c r="C140" s="168">
        <v>45736</v>
      </c>
      <c r="D140" s="125">
        <v>20250001427</v>
      </c>
      <c r="G140" s="1037" t="s">
        <v>6274</v>
      </c>
      <c r="H140" s="125" t="s">
        <v>6275</v>
      </c>
      <c r="I140" s="1037" t="s">
        <v>344</v>
      </c>
      <c r="J140" s="170" t="s">
        <v>6276</v>
      </c>
      <c r="K140" s="164">
        <v>133.94</v>
      </c>
      <c r="L140" s="125">
        <v>133.94</v>
      </c>
      <c r="M140" s="125">
        <v>6002.69</v>
      </c>
      <c r="N140" s="125">
        <v>804000</v>
      </c>
      <c r="O140" s="125">
        <v>6002.69</v>
      </c>
      <c r="P140" s="125"/>
      <c r="Q140" s="125"/>
      <c r="R140" s="125"/>
      <c r="S140" s="125"/>
      <c r="T140" s="125"/>
      <c r="U140" s="125"/>
      <c r="V140" s="125" t="s">
        <v>656</v>
      </c>
      <c r="W140" s="125">
        <v>10000</v>
      </c>
      <c r="X140" s="125" t="s">
        <v>4852</v>
      </c>
      <c r="Y140" s="125">
        <v>204000</v>
      </c>
      <c r="Z140" s="125" t="s">
        <v>2897</v>
      </c>
      <c r="AA140" s="125">
        <v>590000</v>
      </c>
      <c r="AB140" s="125" t="s">
        <v>3342</v>
      </c>
      <c r="AI140" s="165">
        <f t="shared" si="19"/>
        <v>804000</v>
      </c>
      <c r="AL140" s="125">
        <f t="shared" si="18"/>
        <v>0</v>
      </c>
      <c r="AM140" s="125">
        <v>13667569460</v>
      </c>
      <c r="AN140" s="125" t="s">
        <v>3284</v>
      </c>
      <c r="AP140" s="165">
        <f t="shared" si="20"/>
        <v>804000</v>
      </c>
      <c r="AQ140" s="177">
        <f>0.7%+0.02%+0.08%+0.03%</f>
        <v>0.0083</v>
      </c>
      <c r="AW140" s="125">
        <v>214000</v>
      </c>
      <c r="AX140" s="125">
        <v>590000</v>
      </c>
      <c r="BM140" s="125" t="s">
        <v>260</v>
      </c>
    </row>
    <row r="141" s="125" customFormat="1" hidden="1" customHeight="1" spans="1:65">
      <c r="A141" s="125">
        <v>40</v>
      </c>
      <c r="B141" s="125"/>
      <c r="C141" s="168">
        <v>45733</v>
      </c>
      <c r="D141" s="125">
        <v>20250001323</v>
      </c>
      <c r="G141" s="1037" t="s">
        <v>6277</v>
      </c>
      <c r="H141" s="125" t="s">
        <v>6278</v>
      </c>
      <c r="I141" s="1037" t="s">
        <v>6279</v>
      </c>
      <c r="J141" s="170" t="s">
        <v>6280</v>
      </c>
      <c r="K141" s="164">
        <v>134.8</v>
      </c>
      <c r="L141" s="125">
        <v>134.8</v>
      </c>
      <c r="M141" s="125">
        <v>5786.35</v>
      </c>
      <c r="N141" s="125">
        <v>780000</v>
      </c>
      <c r="O141" s="125">
        <v>5786.35</v>
      </c>
      <c r="P141" s="125"/>
      <c r="Q141" s="125"/>
      <c r="R141" s="125"/>
      <c r="S141" s="125"/>
      <c r="T141" s="168"/>
      <c r="U141" s="125"/>
      <c r="V141" s="125" t="s">
        <v>294</v>
      </c>
      <c r="W141" s="125">
        <f>40000+380000+20000</f>
        <v>440000</v>
      </c>
      <c r="X141" s="125" t="s">
        <v>5673</v>
      </c>
      <c r="Y141" s="125">
        <f>80000+60000</f>
        <v>140000</v>
      </c>
      <c r="Z141" s="168">
        <v>45846</v>
      </c>
      <c r="AA141" s="125">
        <v>200000</v>
      </c>
      <c r="AB141" s="168">
        <v>45863</v>
      </c>
      <c r="AI141" s="165">
        <f t="shared" si="19"/>
        <v>780000</v>
      </c>
      <c r="AL141" s="125">
        <f t="shared" si="18"/>
        <v>0</v>
      </c>
      <c r="AM141" s="125">
        <v>18196261195</v>
      </c>
      <c r="AN141" s="125" t="s">
        <v>3362</v>
      </c>
      <c r="AP141" s="125">
        <f t="shared" si="20"/>
        <v>780000</v>
      </c>
      <c r="AQ141" s="177">
        <f>0.7%+0.08%+0.03%</f>
        <v>0.0081</v>
      </c>
      <c r="BA141" s="125">
        <v>780000</v>
      </c>
      <c r="BM141" s="125" t="s">
        <v>260</v>
      </c>
    </row>
    <row r="142" s="125" customFormat="1" hidden="1" customHeight="1" spans="1:65">
      <c r="A142" s="125">
        <v>41</v>
      </c>
      <c r="B142" s="125"/>
      <c r="C142" s="168">
        <v>45568</v>
      </c>
      <c r="D142" s="125">
        <v>20240005755</v>
      </c>
      <c r="G142" s="1037" t="s">
        <v>6281</v>
      </c>
      <c r="H142" s="125" t="s">
        <v>6282</v>
      </c>
      <c r="J142" s="170" t="s">
        <v>6283</v>
      </c>
      <c r="K142" s="164">
        <v>133.94</v>
      </c>
      <c r="L142" s="125">
        <v>133.94</v>
      </c>
      <c r="M142" s="125">
        <v>6141.32</v>
      </c>
      <c r="N142" s="125">
        <v>822569</v>
      </c>
      <c r="O142" s="125">
        <v>6141.32</v>
      </c>
      <c r="V142" s="125" t="s">
        <v>561</v>
      </c>
      <c r="W142" s="125">
        <v>20000</v>
      </c>
      <c r="X142" s="125" t="s">
        <v>258</v>
      </c>
      <c r="Y142" s="125">
        <v>114569</v>
      </c>
      <c r="Z142" s="125" t="s">
        <v>770</v>
      </c>
      <c r="AA142" s="125">
        <v>30000</v>
      </c>
      <c r="AB142" s="125" t="s">
        <v>904</v>
      </c>
      <c r="AC142" s="125">
        <v>658000</v>
      </c>
      <c r="AD142" s="125" t="s">
        <v>506</v>
      </c>
      <c r="AE142" s="125"/>
      <c r="AF142" s="168"/>
      <c r="AI142" s="165">
        <f t="shared" si="19"/>
        <v>822569</v>
      </c>
      <c r="AL142" s="125">
        <f t="shared" si="18"/>
        <v>0</v>
      </c>
      <c r="AM142" s="125">
        <v>13171242535</v>
      </c>
      <c r="AN142" s="125" t="s">
        <v>4581</v>
      </c>
      <c r="AP142" s="165">
        <f t="shared" si="20"/>
        <v>822569</v>
      </c>
      <c r="AQ142" s="177">
        <f>0.5%+0.02%+0.08%+0.03%</f>
        <v>0.0063</v>
      </c>
      <c r="AS142" s="125">
        <v>164569</v>
      </c>
      <c r="AU142" s="125">
        <v>658000</v>
      </c>
      <c r="BM142" s="125" t="s">
        <v>260</v>
      </c>
    </row>
    <row r="143" s="154" customFormat="1" hidden="1" customHeight="1" spans="1:65">
      <c r="A143" s="154">
        <v>42</v>
      </c>
      <c r="B143" s="154"/>
      <c r="C143" s="179">
        <v>45990</v>
      </c>
      <c r="D143" s="154">
        <v>20250006082</v>
      </c>
      <c r="G143" s="1045" t="s">
        <v>6284</v>
      </c>
      <c r="H143" s="154" t="s">
        <v>6285</v>
      </c>
      <c r="I143" s="1043" t="s">
        <v>6286</v>
      </c>
      <c r="J143" s="190" t="s">
        <v>6287</v>
      </c>
      <c r="K143" s="182">
        <v>134.8</v>
      </c>
      <c r="L143" s="154">
        <v>134.8</v>
      </c>
      <c r="M143" s="154">
        <v>5500</v>
      </c>
      <c r="N143" s="154">
        <v>741400</v>
      </c>
      <c r="O143" s="154">
        <f>5796.32-300</f>
        <v>5496.32</v>
      </c>
      <c r="T143" s="179"/>
      <c r="U143" s="154"/>
      <c r="V143" s="154" t="s">
        <v>690</v>
      </c>
      <c r="W143" s="154">
        <v>10000</v>
      </c>
      <c r="X143" s="179">
        <v>45979</v>
      </c>
      <c r="Y143" s="154">
        <v>331400</v>
      </c>
      <c r="Z143" s="179">
        <v>45990</v>
      </c>
      <c r="AA143" s="154">
        <v>400000</v>
      </c>
      <c r="AB143" s="179">
        <v>46002</v>
      </c>
      <c r="AI143" s="183">
        <f t="shared" si="19"/>
        <v>741400</v>
      </c>
      <c r="AL143" s="125">
        <f t="shared" si="18"/>
        <v>0</v>
      </c>
      <c r="AM143" s="154">
        <v>13999612670</v>
      </c>
      <c r="AN143" s="154" t="s">
        <v>3362</v>
      </c>
      <c r="AP143" s="154">
        <f t="shared" si="20"/>
        <v>741400</v>
      </c>
      <c r="AQ143" s="177">
        <f>0.7%+0.08%+0.03%</f>
        <v>0.0081</v>
      </c>
      <c r="BF143" s="154">
        <v>741400</v>
      </c>
      <c r="BK143" s="125"/>
      <c r="BM143" s="125" t="s">
        <v>3258</v>
      </c>
    </row>
    <row r="144" s="107" customFormat="1" hidden="1" customHeight="1" spans="1:65">
      <c r="A144" s="107">
        <v>43</v>
      </c>
      <c r="B144" s="107"/>
      <c r="C144" s="107"/>
      <c r="D144" s="107"/>
      <c r="J144" s="167" t="s">
        <v>6288</v>
      </c>
      <c r="K144" s="162">
        <v>133.94</v>
      </c>
      <c r="L144" s="107"/>
      <c r="M144" s="107"/>
      <c r="N144" s="107"/>
      <c r="O144" s="107">
        <v>7147.43</v>
      </c>
      <c r="P144" s="107"/>
      <c r="Q144" s="107"/>
      <c r="R144" s="107"/>
      <c r="S144" s="107"/>
      <c r="T144" s="107"/>
      <c r="U144" s="107"/>
      <c r="V144" s="125"/>
      <c r="W144" s="107"/>
      <c r="X144" s="107"/>
      <c r="Y144" s="107"/>
      <c r="Z144" s="107"/>
      <c r="AI144" s="156">
        <f t="shared" si="19"/>
        <v>0</v>
      </c>
      <c r="AP144" s="101">
        <f t="shared" si="20"/>
        <v>0</v>
      </c>
      <c r="AQ144" s="177"/>
    </row>
    <row r="145" s="125" customFormat="1" hidden="1" customHeight="1" spans="1:65">
      <c r="A145" s="125">
        <v>44</v>
      </c>
      <c r="B145" s="125">
        <v>1</v>
      </c>
      <c r="C145" s="125"/>
      <c r="D145" s="125"/>
      <c r="G145" s="1037" t="s">
        <v>6289</v>
      </c>
      <c r="H145" s="125" t="s">
        <v>6290</v>
      </c>
      <c r="I145" s="1037" t="s">
        <v>6291</v>
      </c>
      <c r="J145" s="170" t="s">
        <v>6292</v>
      </c>
      <c r="K145" s="164">
        <v>134.8</v>
      </c>
      <c r="L145" s="125">
        <v>134.8</v>
      </c>
      <c r="M145" s="125">
        <v>6400</v>
      </c>
      <c r="N145" s="125">
        <v>862720</v>
      </c>
      <c r="O145" s="125">
        <v>7152.43</v>
      </c>
      <c r="P145" s="125" t="s">
        <v>660</v>
      </c>
      <c r="Q145" s="125"/>
      <c r="R145" s="125"/>
      <c r="S145" s="125"/>
      <c r="T145" s="125"/>
      <c r="U145" s="125"/>
      <c r="V145" s="125" t="s">
        <v>3393</v>
      </c>
      <c r="W145" s="125"/>
      <c r="X145" s="125"/>
      <c r="Y145" s="125"/>
      <c r="Z145" s="125"/>
      <c r="AI145" s="165">
        <f t="shared" si="19"/>
        <v>0</v>
      </c>
      <c r="AP145" s="125">
        <f t="shared" si="20"/>
        <v>0</v>
      </c>
      <c r="AQ145" s="177">
        <f>0.7%+0.05%+0.14%+0.03%</f>
        <v>0.0092</v>
      </c>
    </row>
    <row r="146" s="125" customFormat="1" ht="33" hidden="1" customHeight="1" spans="1:65">
      <c r="A146" s="125">
        <v>45</v>
      </c>
      <c r="B146" s="125"/>
      <c r="C146" s="168">
        <v>45570</v>
      </c>
      <c r="D146" s="125">
        <v>20240005848</v>
      </c>
      <c r="G146" s="1037" t="s">
        <v>6293</v>
      </c>
      <c r="H146" s="175" t="s">
        <v>6294</v>
      </c>
      <c r="J146" s="170" t="s">
        <v>6295</v>
      </c>
      <c r="K146" s="164">
        <v>145.95</v>
      </c>
      <c r="L146" s="125">
        <v>145.95</v>
      </c>
      <c r="M146" s="125">
        <v>8300</v>
      </c>
      <c r="N146" s="125">
        <v>1211385</v>
      </c>
      <c r="O146" s="125">
        <v>8300</v>
      </c>
      <c r="P146" s="125"/>
      <c r="T146" s="168"/>
      <c r="V146" s="125" t="s">
        <v>257</v>
      </c>
      <c r="W146" s="125"/>
      <c r="X146" s="168"/>
      <c r="Y146" s="125">
        <v>21385</v>
      </c>
      <c r="Z146" s="168" t="s">
        <v>400</v>
      </c>
      <c r="AA146" s="125">
        <v>210000</v>
      </c>
      <c r="AB146" s="125" t="s">
        <v>371</v>
      </c>
      <c r="AC146" s="125">
        <v>180000</v>
      </c>
      <c r="AD146" s="125" t="s">
        <v>4366</v>
      </c>
      <c r="AE146" s="125">
        <v>800000</v>
      </c>
      <c r="AF146" s="168" t="s">
        <v>907</v>
      </c>
      <c r="AI146" s="165">
        <f t="shared" si="19"/>
        <v>1211385</v>
      </c>
      <c r="AL146" s="125">
        <f t="shared" ref="AL146:AL153" si="21">N146-AI146</f>
        <v>0</v>
      </c>
      <c r="AM146" s="125">
        <v>13579039210</v>
      </c>
      <c r="AN146" s="125" t="s">
        <v>4581</v>
      </c>
      <c r="AP146" s="165">
        <f t="shared" si="20"/>
        <v>1211385</v>
      </c>
      <c r="AQ146" s="177">
        <f>0.4%+0.05%+0.08%+0.03%</f>
        <v>0.0056</v>
      </c>
      <c r="AR146" s="125">
        <v>231385</v>
      </c>
      <c r="AT146" s="125">
        <v>980000</v>
      </c>
      <c r="BM146" s="125" t="s">
        <v>260</v>
      </c>
    </row>
    <row r="147" s="125" customFormat="1" hidden="1" customHeight="1" spans="1:65">
      <c r="A147" s="125">
        <v>46</v>
      </c>
      <c r="B147" s="125"/>
      <c r="C147" s="168">
        <v>46055</v>
      </c>
      <c r="D147" s="125">
        <v>20260000585</v>
      </c>
      <c r="G147" s="1037" t="s">
        <v>6296</v>
      </c>
      <c r="H147" s="175" t="s">
        <v>6297</v>
      </c>
      <c r="I147" s="1037" t="s">
        <v>6298</v>
      </c>
      <c r="J147" s="170" t="s">
        <v>6299</v>
      </c>
      <c r="K147" s="164">
        <v>157.36</v>
      </c>
      <c r="L147" s="125">
        <v>157.36</v>
      </c>
      <c r="M147" s="125">
        <v>7625.83</v>
      </c>
      <c r="N147" s="125">
        <v>1200000</v>
      </c>
      <c r="O147" s="125">
        <v>8283.43</v>
      </c>
      <c r="P147" s="125" t="s">
        <v>660</v>
      </c>
      <c r="Q147" s="125"/>
      <c r="R147" s="125"/>
      <c r="S147" s="125">
        <f>210000+280000</f>
        <v>490000</v>
      </c>
      <c r="T147" s="168" t="s">
        <v>6300</v>
      </c>
      <c r="U147" s="125"/>
      <c r="V147" s="125" t="s">
        <v>5786</v>
      </c>
      <c r="W147" s="125">
        <v>20000</v>
      </c>
      <c r="X147" s="168" t="s">
        <v>6301</v>
      </c>
      <c r="Y147" s="125">
        <v>10000</v>
      </c>
      <c r="Z147" s="168">
        <v>46025</v>
      </c>
      <c r="AA147" s="125">
        <v>-20000</v>
      </c>
      <c r="AB147" s="168">
        <v>46062</v>
      </c>
      <c r="AC147" s="125">
        <v>210000</v>
      </c>
      <c r="AD147" s="168">
        <v>46093</v>
      </c>
      <c r="AE147" s="125">
        <v>280000</v>
      </c>
      <c r="AF147" s="168">
        <v>46095</v>
      </c>
      <c r="AI147" s="165">
        <f t="shared" si="19"/>
        <v>500000</v>
      </c>
      <c r="AL147" s="125">
        <f t="shared" si="21"/>
        <v>700000</v>
      </c>
      <c r="AM147" s="125">
        <v>17799508065</v>
      </c>
      <c r="AN147" s="125"/>
      <c r="AP147" s="125">
        <f t="shared" ref="AP147:AP167" si="22">SUM(AR147:BJ147)</f>
        <v>0</v>
      </c>
      <c r="AQ147" s="177">
        <f>0.7%+0.03%+0.08%+0.03%</f>
        <v>0.0084</v>
      </c>
      <c r="BM147" s="125" t="s">
        <v>260</v>
      </c>
    </row>
    <row r="148" s="107" customFormat="1" hidden="1" customHeight="1" spans="1:65">
      <c r="A148" s="107">
        <v>47</v>
      </c>
      <c r="B148" s="107"/>
      <c r="C148" s="107"/>
      <c r="D148" s="107"/>
      <c r="J148" s="167" t="s">
        <v>6302</v>
      </c>
      <c r="K148" s="162">
        <v>162.14</v>
      </c>
      <c r="L148" s="107"/>
      <c r="M148" s="107"/>
      <c r="N148" s="107"/>
      <c r="O148" s="107">
        <v>5795.58</v>
      </c>
      <c r="P148" s="107"/>
      <c r="Q148" s="107"/>
      <c r="R148" s="107"/>
      <c r="S148" s="107"/>
      <c r="T148" s="107"/>
      <c r="U148" s="107"/>
      <c r="V148" s="125"/>
      <c r="W148" s="107"/>
      <c r="X148" s="107"/>
      <c r="Y148" s="107"/>
      <c r="Z148" s="107"/>
      <c r="AI148" s="165">
        <f t="shared" si="19"/>
        <v>0</v>
      </c>
      <c r="AL148" s="125">
        <f t="shared" si="21"/>
        <v>0</v>
      </c>
      <c r="AP148" s="101">
        <f t="shared" si="22"/>
        <v>0</v>
      </c>
      <c r="AQ148" s="177"/>
    </row>
    <row r="149" s="107" customFormat="1" hidden="1" customHeight="1" spans="1:65">
      <c r="A149" s="107">
        <v>48</v>
      </c>
      <c r="B149" s="107"/>
      <c r="C149" s="107"/>
      <c r="D149" s="107"/>
      <c r="J149" s="167" t="s">
        <v>6303</v>
      </c>
      <c r="K149" s="162">
        <v>174.32</v>
      </c>
      <c r="L149" s="107"/>
      <c r="M149" s="107"/>
      <c r="N149" s="107"/>
      <c r="O149" s="107">
        <v>5780.66</v>
      </c>
      <c r="P149" s="107"/>
      <c r="Q149" s="107"/>
      <c r="R149" s="107"/>
      <c r="S149" s="107"/>
      <c r="T149" s="107"/>
      <c r="U149" s="107"/>
      <c r="V149" s="125"/>
      <c r="W149" s="107"/>
      <c r="X149" s="107"/>
      <c r="Y149" s="107"/>
      <c r="Z149" s="107"/>
      <c r="AI149" s="165">
        <f t="shared" si="19"/>
        <v>0</v>
      </c>
      <c r="AL149" s="125">
        <f t="shared" si="21"/>
        <v>0</v>
      </c>
      <c r="AP149" s="101">
        <f t="shared" si="22"/>
        <v>0</v>
      </c>
      <c r="AQ149" s="177"/>
    </row>
    <row r="150" s="107" customFormat="1" hidden="1" customHeight="1" spans="1:65">
      <c r="A150" s="107">
        <v>49</v>
      </c>
      <c r="B150" s="107"/>
      <c r="C150" s="107"/>
      <c r="D150" s="107"/>
      <c r="J150" s="167" t="s">
        <v>6304</v>
      </c>
      <c r="K150" s="162">
        <v>162.14</v>
      </c>
      <c r="L150" s="107"/>
      <c r="M150" s="107"/>
      <c r="N150" s="107"/>
      <c r="O150" s="107">
        <v>5500.24</v>
      </c>
      <c r="P150" s="107"/>
      <c r="Q150" s="107"/>
      <c r="R150" s="107"/>
      <c r="S150" s="107"/>
      <c r="T150" s="107"/>
      <c r="U150" s="107"/>
      <c r="V150" s="125"/>
      <c r="W150" s="107"/>
      <c r="X150" s="107"/>
      <c r="Y150" s="107"/>
      <c r="Z150" s="107"/>
      <c r="AI150" s="165">
        <f t="shared" si="19"/>
        <v>0</v>
      </c>
      <c r="AL150" s="125">
        <f t="shared" si="21"/>
        <v>0</v>
      </c>
      <c r="AP150" s="101">
        <f t="shared" si="22"/>
        <v>0</v>
      </c>
      <c r="AQ150" s="177"/>
    </row>
    <row r="151" s="107" customFormat="1" hidden="1" customHeight="1" spans="1:65">
      <c r="A151" s="107">
        <v>50</v>
      </c>
      <c r="B151" s="107"/>
      <c r="C151" s="107"/>
      <c r="D151" s="107"/>
      <c r="J151" s="167" t="s">
        <v>6305</v>
      </c>
      <c r="K151" s="162">
        <v>174.32</v>
      </c>
      <c r="L151" s="107"/>
      <c r="M151" s="107"/>
      <c r="N151" s="107"/>
      <c r="O151" s="107">
        <v>5485.31</v>
      </c>
      <c r="P151" s="107"/>
      <c r="Q151" s="107"/>
      <c r="R151" s="107"/>
      <c r="S151" s="107"/>
      <c r="T151" s="107"/>
      <c r="U151" s="107"/>
      <c r="V151" s="125"/>
      <c r="W151" s="107"/>
      <c r="X151" s="107"/>
      <c r="Y151" s="107"/>
      <c r="Z151" s="107"/>
      <c r="AI151" s="165">
        <f t="shared" si="19"/>
        <v>0</v>
      </c>
      <c r="AL151" s="125">
        <f t="shared" si="21"/>
        <v>0</v>
      </c>
      <c r="AP151" s="101">
        <f t="shared" si="22"/>
        <v>0</v>
      </c>
      <c r="AQ151" s="177"/>
    </row>
    <row r="152" s="125" customFormat="1" hidden="1" customHeight="1" spans="1:65">
      <c r="A152" s="125">
        <v>51</v>
      </c>
      <c r="B152" s="125">
        <v>1</v>
      </c>
      <c r="C152" s="168">
        <v>46108</v>
      </c>
      <c r="D152" s="125">
        <v>20260001401</v>
      </c>
      <c r="G152" s="1037" t="s">
        <v>6239</v>
      </c>
      <c r="H152" s="125" t="s">
        <v>6240</v>
      </c>
      <c r="I152" s="1037" t="s">
        <v>6306</v>
      </c>
      <c r="J152" s="170" t="s">
        <v>6307</v>
      </c>
      <c r="K152" s="164">
        <v>162.14</v>
      </c>
      <c r="L152" s="125">
        <v>162.14</v>
      </c>
      <c r="M152" s="125">
        <v>5300</v>
      </c>
      <c r="N152" s="125">
        <v>859342</v>
      </c>
      <c r="O152" s="125">
        <v>5882.85</v>
      </c>
      <c r="P152" s="125" t="s">
        <v>660</v>
      </c>
      <c r="Q152" s="125"/>
      <c r="R152" s="125"/>
      <c r="S152" s="125">
        <f>20000+152342</f>
        <v>172342</v>
      </c>
      <c r="T152" s="168" t="s">
        <v>6308</v>
      </c>
      <c r="U152" s="125"/>
      <c r="V152" s="125" t="s">
        <v>370</v>
      </c>
      <c r="W152" s="125">
        <v>20000</v>
      </c>
      <c r="X152" s="168">
        <v>46095</v>
      </c>
      <c r="Y152" s="125">
        <v>152342</v>
      </c>
      <c r="Z152" s="168">
        <v>46108</v>
      </c>
      <c r="AI152" s="165">
        <f t="shared" si="19"/>
        <v>172342</v>
      </c>
      <c r="AL152" s="125">
        <f t="shared" si="21"/>
        <v>687000</v>
      </c>
      <c r="AP152" s="125">
        <f t="shared" si="22"/>
        <v>0</v>
      </c>
      <c r="AQ152" s="177">
        <f>0.7%+0.04%+0.14%+0.03%</f>
        <v>0.0091</v>
      </c>
      <c r="BM152" s="125" t="s">
        <v>260</v>
      </c>
    </row>
    <row r="153" s="125" customFormat="1" hidden="1" customHeight="1" spans="1:65">
      <c r="A153" s="125">
        <v>52</v>
      </c>
      <c r="B153" s="125"/>
      <c r="C153" s="168">
        <v>45904</v>
      </c>
      <c r="D153" s="125">
        <v>20250004523</v>
      </c>
      <c r="G153" s="1037" t="s">
        <v>6309</v>
      </c>
      <c r="H153" s="125" t="s">
        <v>6310</v>
      </c>
      <c r="I153" s="125"/>
      <c r="J153" s="170" t="s">
        <v>6311</v>
      </c>
      <c r="K153" s="164">
        <v>174.32</v>
      </c>
      <c r="L153" s="125">
        <v>174.32</v>
      </c>
      <c r="M153" s="125">
        <v>5570.92</v>
      </c>
      <c r="N153" s="125">
        <v>971123</v>
      </c>
      <c r="O153" s="125">
        <v>5517.92</v>
      </c>
      <c r="P153" s="125"/>
      <c r="Q153" s="125"/>
      <c r="R153" s="125"/>
      <c r="S153" s="125"/>
      <c r="T153" s="168"/>
      <c r="U153" s="125"/>
      <c r="V153" s="125" t="s">
        <v>370</v>
      </c>
      <c r="W153" s="125">
        <v>1123</v>
      </c>
      <c r="X153" s="168">
        <v>45904</v>
      </c>
      <c r="Y153" s="125">
        <v>200000</v>
      </c>
      <c r="Z153" s="168" t="s">
        <v>4219</v>
      </c>
      <c r="AA153" s="125">
        <v>770000</v>
      </c>
      <c r="AB153" s="168">
        <v>45964</v>
      </c>
      <c r="AC153" s="125"/>
      <c r="AD153" s="125"/>
      <c r="AE153" s="125"/>
      <c r="AF153" s="125"/>
      <c r="AG153" s="125"/>
      <c r="AH153" s="125"/>
      <c r="AI153" s="165">
        <f t="shared" si="19"/>
        <v>971123</v>
      </c>
      <c r="AL153" s="125">
        <f t="shared" si="21"/>
        <v>0</v>
      </c>
      <c r="AM153" s="125">
        <v>18199213235</v>
      </c>
      <c r="AN153" s="125" t="s">
        <v>3284</v>
      </c>
      <c r="AO153" s="125"/>
      <c r="AP153" s="125">
        <f t="shared" si="22"/>
        <v>971123</v>
      </c>
      <c r="AQ153" s="177">
        <f>0.7%+0.04%+0.08%+0.03%</f>
        <v>0.0085</v>
      </c>
      <c r="AS153" s="154"/>
      <c r="AT153" s="154"/>
      <c r="AU153" s="154"/>
      <c r="AV153" s="154"/>
      <c r="AW153" s="154"/>
      <c r="AX153" s="154"/>
      <c r="AY153" s="154"/>
      <c r="AZ153" s="154"/>
      <c r="BA153" s="154"/>
      <c r="BB153" s="154"/>
      <c r="BC153" s="125">
        <v>201123</v>
      </c>
      <c r="BE153" s="125">
        <v>770000</v>
      </c>
      <c r="BM153" s="125" t="s">
        <v>2707</v>
      </c>
    </row>
    <row r="154" s="125" customFormat="1" hidden="1" customHeight="1" spans="1:65">
      <c r="A154" s="125">
        <v>53</v>
      </c>
      <c r="B154" s="125"/>
      <c r="C154" s="168">
        <v>45890</v>
      </c>
      <c r="D154" s="125">
        <v>20250004321</v>
      </c>
      <c r="G154" s="1037" t="s">
        <v>6312</v>
      </c>
      <c r="H154" s="125" t="s">
        <v>6313</v>
      </c>
      <c r="I154" s="125"/>
      <c r="J154" s="170" t="s">
        <v>6314</v>
      </c>
      <c r="K154" s="164">
        <v>162.14</v>
      </c>
      <c r="L154" s="125">
        <v>162.14</v>
      </c>
      <c r="M154" s="125">
        <v>5920.81</v>
      </c>
      <c r="N154" s="125">
        <v>960000</v>
      </c>
      <c r="O154" s="125">
        <v>5871.32</v>
      </c>
      <c r="P154" s="125"/>
      <c r="Q154" s="125"/>
      <c r="R154" s="125"/>
      <c r="S154" s="125"/>
      <c r="T154" s="168"/>
      <c r="U154" s="125"/>
      <c r="V154" s="125" t="s">
        <v>267</v>
      </c>
      <c r="W154" s="125">
        <v>20000</v>
      </c>
      <c r="X154" s="125" t="s">
        <v>3439</v>
      </c>
      <c r="Y154" s="125">
        <v>640000</v>
      </c>
      <c r="Z154" s="125" t="s">
        <v>6315</v>
      </c>
      <c r="AA154" s="125">
        <v>300000</v>
      </c>
      <c r="AB154" s="168">
        <v>45923</v>
      </c>
      <c r="AI154" s="165">
        <f t="shared" si="19"/>
        <v>960000</v>
      </c>
      <c r="AL154" s="125">
        <f t="shared" ref="AL154:AL167" si="23">N154-AI154</f>
        <v>0</v>
      </c>
      <c r="AM154" s="125">
        <v>13999008860</v>
      </c>
      <c r="AP154" s="125">
        <f t="shared" si="22"/>
        <v>960000</v>
      </c>
      <c r="AQ154" s="177">
        <f>0.7%+0.08%+0.03%</f>
        <v>0.0081</v>
      </c>
      <c r="BB154" s="125">
        <v>660000</v>
      </c>
      <c r="BC154" s="125">
        <v>300000</v>
      </c>
      <c r="BM154" s="125" t="s">
        <v>2707</v>
      </c>
    </row>
    <row r="155" s="107" customFormat="1" hidden="1" customHeight="1" spans="1:65">
      <c r="A155" s="107">
        <v>54</v>
      </c>
      <c r="B155" s="107"/>
      <c r="C155" s="107"/>
      <c r="D155" s="107"/>
      <c r="J155" s="161" t="s">
        <v>6316</v>
      </c>
      <c r="K155" s="162">
        <v>174.32</v>
      </c>
      <c r="L155" s="107"/>
      <c r="M155" s="107"/>
      <c r="N155" s="107"/>
      <c r="O155" s="107">
        <v>5592.27</v>
      </c>
      <c r="P155" s="107"/>
      <c r="Q155" s="107"/>
      <c r="R155" s="107"/>
      <c r="S155" s="107"/>
      <c r="T155" s="107"/>
      <c r="U155" s="107"/>
      <c r="V155" s="125"/>
      <c r="W155" s="107"/>
      <c r="X155" s="107"/>
      <c r="Y155" s="107"/>
      <c r="Z155" s="107"/>
      <c r="AI155" s="156">
        <f t="shared" si="19"/>
        <v>0</v>
      </c>
      <c r="AL155" s="125">
        <f t="shared" si="23"/>
        <v>0</v>
      </c>
      <c r="AP155" s="101">
        <f t="shared" si="22"/>
        <v>0</v>
      </c>
      <c r="AQ155" s="177"/>
    </row>
    <row r="156" s="125" customFormat="1" hidden="1" customHeight="1" spans="1:65">
      <c r="A156" s="125">
        <v>55</v>
      </c>
      <c r="B156" s="125"/>
      <c r="C156" s="168">
        <v>45932</v>
      </c>
      <c r="D156" s="125">
        <v>20250005117</v>
      </c>
      <c r="G156" s="1037" t="s">
        <v>6317</v>
      </c>
      <c r="H156" s="125" t="s">
        <v>6318</v>
      </c>
      <c r="I156" s="1037" t="s">
        <v>6319</v>
      </c>
      <c r="J156" s="170" t="s">
        <v>6320</v>
      </c>
      <c r="K156" s="164">
        <v>162.14</v>
      </c>
      <c r="L156" s="125">
        <v>162.14</v>
      </c>
      <c r="M156" s="125">
        <v>5700</v>
      </c>
      <c r="N156" s="125">
        <v>924198</v>
      </c>
      <c r="O156" s="125">
        <v>5700</v>
      </c>
      <c r="P156" s="125"/>
      <c r="Q156" s="125"/>
      <c r="R156" s="125"/>
      <c r="S156" s="125"/>
      <c r="T156" s="168"/>
      <c r="U156" s="125"/>
      <c r="V156" s="125" t="s">
        <v>2160</v>
      </c>
      <c r="W156" s="125">
        <v>20000</v>
      </c>
      <c r="X156" s="125" t="s">
        <v>6321</v>
      </c>
      <c r="Y156" s="125">
        <v>70000</v>
      </c>
      <c r="Z156" s="125" t="s">
        <v>3508</v>
      </c>
      <c r="AA156" s="125">
        <v>95198</v>
      </c>
      <c r="AB156" s="168">
        <v>45935</v>
      </c>
      <c r="AC156" s="125">
        <v>739000</v>
      </c>
      <c r="AD156" s="168">
        <v>46064</v>
      </c>
      <c r="AI156" s="165">
        <f t="shared" si="19"/>
        <v>924198</v>
      </c>
      <c r="AL156" s="125">
        <f t="shared" si="23"/>
        <v>0</v>
      </c>
      <c r="AM156" s="125">
        <v>17699232431</v>
      </c>
      <c r="AN156" s="125" t="s">
        <v>3362</v>
      </c>
      <c r="AP156" s="125">
        <f t="shared" si="22"/>
        <v>924198</v>
      </c>
      <c r="AQ156" s="177">
        <f>0.7%+0.02%+0.1%+0.03%</f>
        <v>0.0085</v>
      </c>
      <c r="BD156" s="125">
        <v>185198</v>
      </c>
      <c r="BH156" s="125">
        <v>739000</v>
      </c>
      <c r="BM156" s="125" t="s">
        <v>3258</v>
      </c>
    </row>
    <row r="157" s="125" customFormat="1" customHeight="1" spans="1:65">
      <c r="A157" s="125">
        <v>56</v>
      </c>
      <c r="B157" s="125">
        <v>1</v>
      </c>
      <c r="C157" s="168">
        <v>46085</v>
      </c>
      <c r="D157" s="125">
        <v>20260001054</v>
      </c>
      <c r="G157" s="1037" t="s">
        <v>6322</v>
      </c>
      <c r="H157" s="125" t="s">
        <v>6323</v>
      </c>
      <c r="I157" s="125"/>
      <c r="J157" s="163" t="s">
        <v>6324</v>
      </c>
      <c r="K157" s="164">
        <v>174.32</v>
      </c>
      <c r="L157" s="125">
        <v>174.32</v>
      </c>
      <c r="M157" s="125">
        <f>N157/L157</f>
        <v>5300</v>
      </c>
      <c r="N157" s="125">
        <v>923896</v>
      </c>
      <c r="O157" s="125">
        <f>5461.18-300</f>
        <v>5161.18</v>
      </c>
      <c r="P157" s="125" t="s">
        <v>660</v>
      </c>
      <c r="Q157" s="125"/>
      <c r="R157" s="125"/>
      <c r="S157" s="125">
        <f>20000+243896+40000</f>
        <v>303896</v>
      </c>
      <c r="T157" s="168" t="s">
        <v>6325</v>
      </c>
      <c r="U157" s="125"/>
      <c r="V157" s="125" t="s">
        <v>3393</v>
      </c>
      <c r="W157" s="125">
        <v>20000</v>
      </c>
      <c r="X157" s="168">
        <v>46084</v>
      </c>
      <c r="Y157" s="125">
        <v>243896</v>
      </c>
      <c r="Z157" s="168">
        <v>46085</v>
      </c>
      <c r="AA157" s="125">
        <v>40000</v>
      </c>
      <c r="AB157" s="168">
        <v>46108</v>
      </c>
      <c r="AI157" s="165">
        <f t="shared" si="19"/>
        <v>303896</v>
      </c>
      <c r="AL157" s="125">
        <f t="shared" si="23"/>
        <v>620000</v>
      </c>
      <c r="AN157" s="125" t="s">
        <v>3362</v>
      </c>
      <c r="AP157" s="125">
        <f t="shared" si="22"/>
        <v>303896</v>
      </c>
      <c r="AQ157" s="177">
        <f>0.7%+0.05%+0.14%+0.03%</f>
        <v>0.0092</v>
      </c>
      <c r="BI157" s="125">
        <v>303896</v>
      </c>
      <c r="BM157" s="125" t="s">
        <v>260</v>
      </c>
    </row>
    <row r="158" s="125" customFormat="1" hidden="1" customHeight="1" spans="1:65">
      <c r="A158" s="125">
        <v>57</v>
      </c>
      <c r="B158" s="125"/>
      <c r="C158" s="168">
        <v>45936</v>
      </c>
      <c r="D158" s="125">
        <v>20250005127</v>
      </c>
      <c r="G158" s="1037" t="s">
        <v>6326</v>
      </c>
      <c r="H158" s="125" t="s">
        <v>6327</v>
      </c>
      <c r="I158" s="1037" t="s">
        <v>6328</v>
      </c>
      <c r="J158" s="170" t="s">
        <v>6329</v>
      </c>
      <c r="K158" s="164">
        <v>162.14</v>
      </c>
      <c r="L158" s="125">
        <v>162.14</v>
      </c>
      <c r="M158" s="125">
        <v>6080.47</v>
      </c>
      <c r="N158" s="125">
        <v>985888</v>
      </c>
      <c r="O158" s="125">
        <v>6075.02</v>
      </c>
      <c r="P158" s="125"/>
      <c r="Q158" s="125"/>
      <c r="R158" s="125"/>
      <c r="S158" s="125"/>
      <c r="T158" s="168"/>
      <c r="U158" s="125"/>
      <c r="V158" s="125" t="s">
        <v>370</v>
      </c>
      <c r="W158" s="125">
        <v>15000</v>
      </c>
      <c r="X158" s="168" t="s">
        <v>5983</v>
      </c>
      <c r="Y158" s="125">
        <v>888</v>
      </c>
      <c r="Z158" s="168">
        <v>45936</v>
      </c>
      <c r="AA158" s="125">
        <v>188000</v>
      </c>
      <c r="AB158" s="168">
        <v>45954</v>
      </c>
      <c r="AC158" s="125">
        <v>782000</v>
      </c>
      <c r="AD158" s="168">
        <v>46006</v>
      </c>
      <c r="AI158" s="165">
        <f t="shared" si="19"/>
        <v>985888</v>
      </c>
      <c r="AL158" s="125">
        <f t="shared" si="23"/>
        <v>0</v>
      </c>
      <c r="AM158" s="125">
        <v>19999764028</v>
      </c>
      <c r="AN158" s="125" t="s">
        <v>5985</v>
      </c>
      <c r="AP158" s="125">
        <f t="shared" si="22"/>
        <v>985888</v>
      </c>
      <c r="AQ158" s="177">
        <f>0.7%+0.03%+0.08%+0.03%</f>
        <v>0.0084</v>
      </c>
      <c r="BD158" s="125">
        <v>203888</v>
      </c>
      <c r="BF158" s="125">
        <v>782000</v>
      </c>
      <c r="BM158" s="125" t="s">
        <v>3258</v>
      </c>
    </row>
    <row r="159" s="125" customFormat="1" hidden="1" customHeight="1" spans="1:65">
      <c r="A159" s="125">
        <v>58</v>
      </c>
      <c r="B159" s="125"/>
      <c r="C159" s="168">
        <v>45661</v>
      </c>
      <c r="D159" s="125">
        <v>20260000015</v>
      </c>
      <c r="G159" s="1037" t="s">
        <v>6330</v>
      </c>
      <c r="H159" s="125" t="s">
        <v>6331</v>
      </c>
      <c r="I159" s="125"/>
      <c r="J159" s="163" t="s">
        <v>6332</v>
      </c>
      <c r="K159" s="164">
        <v>174.32</v>
      </c>
      <c r="L159" s="125">
        <v>174.32</v>
      </c>
      <c r="M159" s="125">
        <v>5248.97</v>
      </c>
      <c r="N159" s="125">
        <v>915000</v>
      </c>
      <c r="O159" s="171">
        <f>5510.1-300</f>
        <v>5210.1</v>
      </c>
      <c r="T159" s="168"/>
      <c r="U159" s="125"/>
      <c r="V159" s="125" t="s">
        <v>3393</v>
      </c>
      <c r="W159" s="125">
        <v>10000</v>
      </c>
      <c r="X159" s="168">
        <v>46024</v>
      </c>
      <c r="Y159" s="125">
        <v>205000</v>
      </c>
      <c r="Z159" s="168">
        <v>46026</v>
      </c>
      <c r="AA159" s="125">
        <v>700000</v>
      </c>
      <c r="AB159" s="168">
        <v>46035</v>
      </c>
      <c r="AI159" s="165">
        <f t="shared" si="19"/>
        <v>915000</v>
      </c>
      <c r="AL159" s="125">
        <f t="shared" si="23"/>
        <v>0</v>
      </c>
      <c r="AN159" s="125" t="s">
        <v>3362</v>
      </c>
      <c r="AP159" s="125">
        <f t="shared" si="22"/>
        <v>915000</v>
      </c>
      <c r="AQ159" s="177">
        <f>0.7%+0.02%+0.08%+0.03%</f>
        <v>0.0083</v>
      </c>
      <c r="BG159" s="125">
        <v>915000</v>
      </c>
      <c r="BM159" s="125" t="s">
        <v>260</v>
      </c>
    </row>
    <row r="160" s="125" customFormat="1" hidden="1" customHeight="1" spans="1:65">
      <c r="A160" s="125">
        <v>59</v>
      </c>
      <c r="B160" s="125"/>
      <c r="C160" s="168">
        <v>45887</v>
      </c>
      <c r="D160" s="125">
        <v>20250004274</v>
      </c>
      <c r="G160" s="1037" t="s">
        <v>6333</v>
      </c>
      <c r="H160" s="125" t="s">
        <v>6334</v>
      </c>
      <c r="I160" s="1037" t="s">
        <v>6335</v>
      </c>
      <c r="J160" s="170" t="s">
        <v>6336</v>
      </c>
      <c r="K160" s="164">
        <v>162.14</v>
      </c>
      <c r="L160" s="125">
        <v>162.14</v>
      </c>
      <c r="M160" s="125">
        <v>5602.19</v>
      </c>
      <c r="N160" s="125">
        <v>908340</v>
      </c>
      <c r="O160" s="125">
        <v>5602.19</v>
      </c>
      <c r="P160" s="125"/>
      <c r="Q160" s="125"/>
      <c r="R160" s="125"/>
      <c r="S160" s="125"/>
      <c r="T160" s="168"/>
      <c r="U160" s="125"/>
      <c r="V160" s="125" t="s">
        <v>2160</v>
      </c>
      <c r="W160" s="125">
        <f>20000+168340</f>
        <v>188340</v>
      </c>
      <c r="X160" s="168">
        <v>45886</v>
      </c>
      <c r="Y160" s="125">
        <v>720000</v>
      </c>
      <c r="Z160" s="168">
        <v>46035</v>
      </c>
      <c r="AI160" s="165">
        <f t="shared" si="19"/>
        <v>908340</v>
      </c>
      <c r="AL160" s="125">
        <f t="shared" si="23"/>
        <v>0</v>
      </c>
      <c r="AN160" s="125" t="s">
        <v>5958</v>
      </c>
      <c r="AP160" s="125">
        <f t="shared" si="22"/>
        <v>908340</v>
      </c>
      <c r="AQ160" s="177">
        <f>0.7%+0.04%+0.08%+0.03%</f>
        <v>0.0085</v>
      </c>
      <c r="BB160" s="125">
        <v>188340</v>
      </c>
      <c r="BG160" s="125">
        <v>720000</v>
      </c>
      <c r="BM160" s="125" t="s">
        <v>2707</v>
      </c>
    </row>
    <row r="161" s="107" customFormat="1" hidden="1" customHeight="1" spans="1:71">
      <c r="A161" s="107">
        <v>60</v>
      </c>
      <c r="B161" s="107"/>
      <c r="C161" s="107"/>
      <c r="D161" s="107"/>
      <c r="J161" s="161" t="s">
        <v>6337</v>
      </c>
      <c r="K161" s="162">
        <v>174.32</v>
      </c>
      <c r="L161" s="107"/>
      <c r="M161" s="107"/>
      <c r="N161" s="107"/>
      <c r="O161" s="107">
        <v>6087.27</v>
      </c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I161" s="156">
        <f t="shared" si="19"/>
        <v>0</v>
      </c>
      <c r="AL161" s="125">
        <f t="shared" si="23"/>
        <v>0</v>
      </c>
      <c r="AP161" s="101">
        <f t="shared" si="22"/>
        <v>0</v>
      </c>
      <c r="AQ161" s="177"/>
    </row>
    <row r="162" s="125" customFormat="1" hidden="1" customHeight="1" spans="1:71">
      <c r="A162" s="125">
        <v>61</v>
      </c>
      <c r="B162" s="125"/>
      <c r="C162" s="168">
        <v>45652</v>
      </c>
      <c r="D162" s="125">
        <v>20240007458</v>
      </c>
      <c r="G162" s="1037" t="s">
        <v>6338</v>
      </c>
      <c r="H162" s="125" t="s">
        <v>6339</v>
      </c>
      <c r="I162" s="1037" t="s">
        <v>6340</v>
      </c>
      <c r="J162" s="170" t="s">
        <v>6341</v>
      </c>
      <c r="K162" s="164">
        <v>162.14</v>
      </c>
      <c r="L162" s="125">
        <v>162.14</v>
      </c>
      <c r="M162" s="125">
        <v>6044.16</v>
      </c>
      <c r="N162" s="125">
        <v>980000</v>
      </c>
      <c r="O162" s="125">
        <v>6131.11</v>
      </c>
      <c r="P162" s="125"/>
      <c r="Q162" s="125"/>
      <c r="R162" s="125"/>
      <c r="S162" s="125"/>
      <c r="T162" s="125"/>
      <c r="U162" s="125"/>
      <c r="V162" s="125" t="s">
        <v>380</v>
      </c>
      <c r="W162" s="125">
        <v>20000</v>
      </c>
      <c r="X162" s="125" t="s">
        <v>393</v>
      </c>
      <c r="Y162" s="125">
        <v>80000</v>
      </c>
      <c r="Z162" s="125" t="s">
        <v>2683</v>
      </c>
      <c r="AA162" s="125">
        <v>100000</v>
      </c>
      <c r="AB162" s="125" t="s">
        <v>3282</v>
      </c>
      <c r="AC162" s="125">
        <v>780000</v>
      </c>
      <c r="AD162" s="125" t="s">
        <v>3014</v>
      </c>
      <c r="AI162" s="165">
        <f t="shared" si="19"/>
        <v>980000</v>
      </c>
      <c r="AL162" s="125">
        <f t="shared" si="23"/>
        <v>0</v>
      </c>
      <c r="AM162" s="125">
        <v>15276682637</v>
      </c>
      <c r="AN162" s="125" t="s">
        <v>4559</v>
      </c>
      <c r="AP162" s="165">
        <f t="shared" si="22"/>
        <v>980000</v>
      </c>
      <c r="AQ162" s="177">
        <f>0.6%+0.03%+0.08%+0.03%</f>
        <v>0.0074</v>
      </c>
      <c r="AT162" s="125">
        <v>200000</v>
      </c>
      <c r="AX162" s="125">
        <v>780000</v>
      </c>
      <c r="BM162" s="125" t="s">
        <v>260</v>
      </c>
    </row>
    <row r="163" s="107" customFormat="1" hidden="1" customHeight="1" spans="1:71">
      <c r="A163" s="107">
        <v>62</v>
      </c>
      <c r="B163" s="107"/>
      <c r="C163" s="191"/>
      <c r="D163" s="107"/>
      <c r="J163" s="161" t="s">
        <v>6342</v>
      </c>
      <c r="K163" s="162">
        <v>174.32</v>
      </c>
      <c r="L163" s="107"/>
      <c r="M163" s="107"/>
      <c r="N163" s="107"/>
      <c r="O163" s="107">
        <v>6116.18</v>
      </c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I163" s="156">
        <f t="shared" si="19"/>
        <v>0</v>
      </c>
      <c r="AL163" s="125">
        <f t="shared" si="23"/>
        <v>0</v>
      </c>
      <c r="AP163" s="101">
        <f t="shared" si="22"/>
        <v>0</v>
      </c>
      <c r="AQ163" s="177"/>
    </row>
    <row r="164" s="125" customFormat="1" hidden="1" customHeight="1" spans="1:71">
      <c r="A164" s="125">
        <v>63</v>
      </c>
      <c r="B164" s="125"/>
      <c r="C164" s="168">
        <v>45834</v>
      </c>
      <c r="D164" s="125">
        <v>20250003424</v>
      </c>
      <c r="G164" s="1037" t="s">
        <v>6343</v>
      </c>
      <c r="H164" s="125" t="s">
        <v>6344</v>
      </c>
      <c r="I164" s="1037" t="s">
        <v>6345</v>
      </c>
      <c r="J164" s="170" t="s">
        <v>6346</v>
      </c>
      <c r="K164" s="164">
        <v>162.14</v>
      </c>
      <c r="L164" s="125">
        <v>162.14</v>
      </c>
      <c r="M164" s="125">
        <v>5750</v>
      </c>
      <c r="N164" s="125">
        <v>932305</v>
      </c>
      <c r="O164" s="125">
        <v>5750</v>
      </c>
      <c r="P164" s="125"/>
      <c r="Q164" s="125"/>
      <c r="R164" s="125"/>
      <c r="S164" s="125"/>
      <c r="T164" s="168"/>
      <c r="U164" s="125"/>
      <c r="V164" s="125" t="s">
        <v>257</v>
      </c>
      <c r="W164" s="125">
        <v>20000</v>
      </c>
      <c r="X164" s="125" t="s">
        <v>5182</v>
      </c>
      <c r="Y164" s="125">
        <f>47305+60000+30000+30000</f>
        <v>167305</v>
      </c>
      <c r="Z164" s="125" t="s">
        <v>3275</v>
      </c>
      <c r="AA164" s="125">
        <v>745000</v>
      </c>
      <c r="AB164" s="168">
        <v>45985</v>
      </c>
      <c r="AI164" s="165">
        <f t="shared" si="19"/>
        <v>932305</v>
      </c>
      <c r="AL164" s="125">
        <f t="shared" si="23"/>
        <v>0</v>
      </c>
      <c r="AM164" s="125">
        <v>13139845952</v>
      </c>
      <c r="AN164" s="125" t="s">
        <v>3362</v>
      </c>
      <c r="AP164" s="125">
        <f t="shared" si="22"/>
        <v>932305</v>
      </c>
      <c r="AQ164" s="177">
        <f>0.7%+0.05%+0.08%+0.03%</f>
        <v>0.0086</v>
      </c>
      <c r="AZ164" s="125">
        <v>187305</v>
      </c>
      <c r="BE164" s="125">
        <v>745000</v>
      </c>
      <c r="BM164" s="125" t="s">
        <v>2707</v>
      </c>
    </row>
    <row r="165" s="107" customFormat="1" hidden="1" customHeight="1" spans="1:71">
      <c r="A165" s="107">
        <v>64</v>
      </c>
      <c r="B165" s="107"/>
      <c r="C165" s="107"/>
      <c r="D165" s="107"/>
      <c r="J165" s="161" t="s">
        <v>6347</v>
      </c>
      <c r="K165" s="162">
        <v>174.32</v>
      </c>
      <c r="L165" s="107"/>
      <c r="M165" s="107"/>
      <c r="N165" s="107"/>
      <c r="O165" s="107">
        <v>6137.92</v>
      </c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I165" s="156">
        <f t="shared" si="19"/>
        <v>0</v>
      </c>
      <c r="AL165" s="125">
        <f t="shared" si="23"/>
        <v>0</v>
      </c>
      <c r="AP165" s="101">
        <f t="shared" si="22"/>
        <v>0</v>
      </c>
      <c r="AQ165" s="177"/>
    </row>
    <row r="166" s="125" customFormat="1" ht="14.25" hidden="1" spans="1:71">
      <c r="A166" s="125">
        <v>65</v>
      </c>
      <c r="B166" s="125">
        <v>1</v>
      </c>
      <c r="C166" s="168">
        <v>46091</v>
      </c>
      <c r="D166" s="125">
        <v>20260001132</v>
      </c>
      <c r="G166" s="1037" t="s">
        <v>6348</v>
      </c>
      <c r="H166" s="125" t="s">
        <v>6349</v>
      </c>
      <c r="I166" s="125"/>
      <c r="J166" s="170" t="s">
        <v>6350</v>
      </c>
      <c r="K166" s="164">
        <v>162.14</v>
      </c>
      <c r="L166" s="125">
        <v>162.14</v>
      </c>
      <c r="M166" s="125">
        <v>6290.86</v>
      </c>
      <c r="N166" s="125">
        <v>1020000</v>
      </c>
      <c r="O166" s="125">
        <v>6622.43</v>
      </c>
      <c r="P166" s="125" t="s">
        <v>660</v>
      </c>
      <c r="Q166" s="125"/>
      <c r="R166" s="125"/>
      <c r="S166" s="125">
        <f>20000+650000+350000</f>
        <v>1020000</v>
      </c>
      <c r="T166" s="168" t="s">
        <v>6351</v>
      </c>
      <c r="U166" s="125"/>
      <c r="V166" s="125" t="s">
        <v>370</v>
      </c>
      <c r="W166" s="125">
        <v>20000</v>
      </c>
      <c r="X166" s="168">
        <v>46091</v>
      </c>
      <c r="Y166" s="125">
        <v>650000</v>
      </c>
      <c r="Z166" s="168">
        <v>46097</v>
      </c>
      <c r="AA166" s="125">
        <v>350000</v>
      </c>
      <c r="AB166" s="168">
        <v>46108</v>
      </c>
      <c r="AI166" s="165">
        <f t="shared" si="19"/>
        <v>1020000</v>
      </c>
      <c r="AL166" s="125">
        <f t="shared" si="23"/>
        <v>0</v>
      </c>
      <c r="AM166" s="125">
        <v>18799860711</v>
      </c>
      <c r="AP166" s="125">
        <f t="shared" si="22"/>
        <v>0</v>
      </c>
      <c r="AQ166" s="177">
        <f>0.7%+0.04%+0.14%+0.03%</f>
        <v>0.0091</v>
      </c>
      <c r="BM166" s="125" t="s">
        <v>260</v>
      </c>
    </row>
    <row r="167" s="125" customFormat="1" ht="14.25" hidden="1" spans="1:71">
      <c r="A167" s="125">
        <v>66</v>
      </c>
      <c r="B167" s="125"/>
      <c r="C167" s="168">
        <v>45657</v>
      </c>
      <c r="D167" s="125">
        <v>20240007561</v>
      </c>
      <c r="H167" s="125" t="s">
        <v>6352</v>
      </c>
      <c r="I167" s="125"/>
      <c r="J167" s="163" t="s">
        <v>6353</v>
      </c>
      <c r="K167" s="164">
        <v>174.32</v>
      </c>
      <c r="L167" s="125">
        <v>174.32</v>
      </c>
      <c r="M167" s="125">
        <v>6597.065</v>
      </c>
      <c r="N167" s="125">
        <v>1150000</v>
      </c>
      <c r="O167" s="125">
        <v>7118.43</v>
      </c>
      <c r="P167" s="125"/>
      <c r="Q167" s="125"/>
      <c r="R167" s="125"/>
      <c r="S167" s="125"/>
      <c r="T167" s="125"/>
      <c r="U167" s="125"/>
      <c r="V167" s="125" t="s">
        <v>257</v>
      </c>
      <c r="W167" s="125">
        <v>115000</v>
      </c>
      <c r="X167" s="125" t="s">
        <v>6251</v>
      </c>
      <c r="Y167" s="125">
        <v>100000</v>
      </c>
      <c r="Z167" s="125" t="s">
        <v>3349</v>
      </c>
      <c r="AA167" s="125">
        <v>435000</v>
      </c>
      <c r="AB167" s="125" t="s">
        <v>2684</v>
      </c>
      <c r="AC167" s="125">
        <v>500000</v>
      </c>
      <c r="AD167" s="125" t="s">
        <v>927</v>
      </c>
      <c r="AI167" s="165">
        <f t="shared" si="19"/>
        <v>1150000</v>
      </c>
      <c r="AL167" s="125">
        <f t="shared" si="23"/>
        <v>0</v>
      </c>
      <c r="AP167" s="165">
        <f t="shared" si="22"/>
        <v>1150000</v>
      </c>
      <c r="AQ167" s="169">
        <f>0.5%+0.02%+0.12%+0.03%</f>
        <v>0.0067</v>
      </c>
      <c r="AU167" s="125">
        <v>650000</v>
      </c>
      <c r="AV167" s="125">
        <v>500000</v>
      </c>
      <c r="BM167" s="125" t="s">
        <v>260</v>
      </c>
    </row>
    <row r="168" s="150" customFormat="1" ht="14.25" hidden="1" spans="1:71">
      <c r="A168" s="192">
        <f>66+66</f>
        <v>132</v>
      </c>
      <c r="B168" s="192">
        <f>SUM(B4:B167)</f>
        <v>12</v>
      </c>
      <c r="K168" s="150">
        <f>SUM(K4:K167)</f>
        <v>19425.76</v>
      </c>
      <c r="L168" s="150">
        <f>SUM(L4:L167)</f>
        <v>13303.69</v>
      </c>
      <c r="N168" s="150">
        <f>SUM(N4:N167)</f>
        <v>77597104</v>
      </c>
      <c r="S168" s="150">
        <f>SUM(S4:S167)</f>
        <v>6189246</v>
      </c>
      <c r="W168" s="150">
        <f t="shared" ref="W168:AA168" si="24">SUM(W4:W167)</f>
        <v>4904949</v>
      </c>
      <c r="Y168" s="150">
        <f>SUM(Y4:Y167)</f>
        <v>25415529</v>
      </c>
      <c r="AA168" s="150">
        <f t="shared" si="24"/>
        <v>21380011</v>
      </c>
      <c r="AC168" s="150">
        <f t="shared" ref="AC168:AG168" si="25">SUM(AC4:AC167)</f>
        <v>15641500</v>
      </c>
      <c r="AE168" s="150">
        <f t="shared" si="25"/>
        <v>2190000</v>
      </c>
      <c r="AG168" s="150">
        <f t="shared" si="25"/>
        <v>0</v>
      </c>
      <c r="AI168" s="150">
        <f t="shared" ref="AI168:AL168" si="26">SUM(AI4:AI167)</f>
        <v>69531989</v>
      </c>
      <c r="AJ168" s="150">
        <f t="shared" si="26"/>
        <v>0</v>
      </c>
      <c r="AK168" s="150">
        <f t="shared" si="26"/>
        <v>0</v>
      </c>
      <c r="AL168" s="150">
        <f t="shared" si="26"/>
        <v>7202395</v>
      </c>
      <c r="AP168" s="150">
        <f t="shared" ref="AP168:BA168" si="27">SUM(AP4:AP167)</f>
        <v>66919245</v>
      </c>
      <c r="AR168" s="150">
        <f t="shared" si="27"/>
        <v>231385</v>
      </c>
      <c r="AS168" s="150">
        <f t="shared" si="27"/>
        <v>283338</v>
      </c>
      <c r="AT168" s="150">
        <f t="shared" si="27"/>
        <v>2118985</v>
      </c>
      <c r="AU168" s="150">
        <f t="shared" si="27"/>
        <v>2758000</v>
      </c>
      <c r="AV168" s="150">
        <f t="shared" si="27"/>
        <v>2482891</v>
      </c>
      <c r="AW168" s="150">
        <f t="shared" si="27"/>
        <v>5350725</v>
      </c>
      <c r="AX168" s="150">
        <f t="shared" si="27"/>
        <v>3216121</v>
      </c>
      <c r="AY168" s="150">
        <f t="shared" si="27"/>
        <v>3069477</v>
      </c>
      <c r="AZ168" s="150">
        <f t="shared" si="27"/>
        <v>6490594</v>
      </c>
      <c r="BA168" s="150">
        <f t="shared" si="27"/>
        <v>6479350</v>
      </c>
      <c r="BK168" s="150">
        <f t="shared" ref="BK168:BS168" si="28">SUM(BK4:BK167)</f>
        <v>0</v>
      </c>
      <c r="BO168" s="150">
        <f t="shared" si="28"/>
        <v>0</v>
      </c>
      <c r="BP168" s="150">
        <f t="shared" si="28"/>
        <v>0</v>
      </c>
      <c r="BQ168" s="150">
        <f t="shared" si="28"/>
        <v>0</v>
      </c>
      <c r="BR168" s="150">
        <f t="shared" si="28"/>
        <v>0</v>
      </c>
      <c r="BS168" s="150">
        <f t="shared" si="28"/>
        <v>0</v>
      </c>
    </row>
    <row r="169" s="107" customFormat="1" ht="14.25" hidden="1" spans="1:71">
      <c r="R169" s="107" t="s">
        <v>72</v>
      </c>
      <c r="AI169" s="156"/>
    </row>
    <row r="170" s="107" customFormat="1" ht="14.25" hidden="1" spans="1:71">
      <c r="R170" s="107" t="s">
        <v>6354</v>
      </c>
      <c r="S170" s="107">
        <v>4203008</v>
      </c>
      <c r="AI170" s="156"/>
    </row>
    <row r="171" s="107" customFormat="1" ht="22" hidden="1" customHeight="1" spans="1:71">
      <c r="R171" s="107" t="s">
        <v>6355</v>
      </c>
      <c r="S171" s="107">
        <v>1986238</v>
      </c>
      <c r="AI171" s="156"/>
    </row>
    <row r="172" ht="14.25" hidden="1"/>
    <row r="173" ht="14.25" hidden="1" spans="1:71">
      <c r="BK173" s="107" t="s">
        <v>3176</v>
      </c>
      <c r="BL173" s="107">
        <v>19450.92</v>
      </c>
    </row>
    <row r="174" customHeight="1" spans="1:71">
      <c r="BM174" s="125"/>
    </row>
  </sheetData>
  <autoFilter xmlns:etc="http://www.wps.cn/officeDocument/2017/etCustomData" ref="A3:BR173" etc:filterBottomFollowUsedRange="0">
    <filterColumn colId="7">
      <customFilters>
        <customFilter operator="equal" val="杨振杰"/>
      </customFilters>
    </filterColumn>
    <extLst/>
  </autoFilter>
  <mergeCells count="46">
    <mergeCell ref="A1:AO1"/>
    <mergeCell ref="P2:R2"/>
    <mergeCell ref="W2:AH2"/>
    <mergeCell ref="A2:A3"/>
    <mergeCell ref="B2:B3"/>
    <mergeCell ref="C2:C3"/>
    <mergeCell ref="D2:D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S2:S3"/>
    <mergeCell ref="T2:T3"/>
    <mergeCell ref="U2:U3"/>
    <mergeCell ref="V2:V3"/>
    <mergeCell ref="AI2:AI3"/>
    <mergeCell ref="AJ2:AJ3"/>
    <mergeCell ref="AK2:AK3"/>
    <mergeCell ref="AL2:AL3"/>
    <mergeCell ref="AM2:AM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</mergeCells>
  <conditionalFormatting sqref="J26">
    <cfRule type="expression" dxfId="0" priority="94" stopIfTrue="1">
      <formula>N635&lt;&gt;0</formula>
    </cfRule>
  </conditionalFormatting>
  <conditionalFormatting sqref="J27">
    <cfRule type="expression" dxfId="0" priority="117" stopIfTrue="1">
      <formula>#REF!&lt;&gt;0</formula>
    </cfRule>
  </conditionalFormatting>
  <conditionalFormatting sqref="J29">
    <cfRule type="expression" dxfId="0" priority="111" stopIfTrue="1">
      <formula>N639&lt;&gt;0</formula>
    </cfRule>
  </conditionalFormatting>
  <conditionalFormatting sqref="J30">
    <cfRule type="expression" dxfId="0" priority="109" stopIfTrue="1">
      <formula>N638&lt;&gt;0</formula>
    </cfRule>
  </conditionalFormatting>
  <conditionalFormatting sqref="J31">
    <cfRule type="expression" dxfId="0" priority="92" stopIfTrue="1">
      <formula>N640&lt;&gt;0</formula>
    </cfRule>
  </conditionalFormatting>
  <conditionalFormatting sqref="J32">
    <cfRule type="expression" dxfId="0" priority="104" stopIfTrue="1">
      <formula>N642&lt;&gt;0</formula>
    </cfRule>
  </conditionalFormatting>
  <conditionalFormatting sqref="J44">
    <cfRule type="expression" dxfId="0" priority="82" stopIfTrue="1">
      <formula>N655&lt;&gt;0</formula>
    </cfRule>
  </conditionalFormatting>
  <conditionalFormatting sqref="J45">
    <cfRule type="expression" dxfId="0" priority="115" stopIfTrue="1">
      <formula>N657&lt;&gt;0</formula>
    </cfRule>
  </conditionalFormatting>
  <conditionalFormatting sqref="J46">
    <cfRule type="expression" dxfId="0" priority="113" stopIfTrue="1">
      <formula>N656&lt;&gt;0</formula>
    </cfRule>
  </conditionalFormatting>
  <conditionalFormatting sqref="J47">
    <cfRule type="expression" dxfId="0" priority="80" stopIfTrue="1">
      <formula>N658&lt;&gt;0</formula>
    </cfRule>
  </conditionalFormatting>
  <conditionalFormatting sqref="J48">
    <cfRule type="expression" dxfId="0" priority="65" stopIfTrue="1">
      <formula>N659&lt;&gt;0</formula>
    </cfRule>
  </conditionalFormatting>
  <conditionalFormatting sqref="J69">
    <cfRule type="expression" dxfId="0" priority="106" stopIfTrue="1">
      <formula>N661&lt;&gt;0</formula>
    </cfRule>
  </conditionalFormatting>
  <conditionalFormatting sqref="J83">
    <cfRule type="expression" dxfId="0" priority="121" stopIfTrue="1">
      <formula>N676&lt;&gt;0</formula>
    </cfRule>
  </conditionalFormatting>
  <conditionalFormatting sqref="J110">
    <cfRule type="expression" dxfId="0" priority="30" stopIfTrue="1">
      <formula>N715&lt;&gt;0</formula>
    </cfRule>
  </conditionalFormatting>
  <conditionalFormatting sqref="J111">
    <cfRule type="expression" dxfId="0" priority="53" stopIfTrue="1">
      <formula>#REF!&lt;&gt;0</formula>
    </cfRule>
  </conditionalFormatting>
  <conditionalFormatting sqref="J113">
    <cfRule type="expression" dxfId="0" priority="47" stopIfTrue="1">
      <formula>N719&lt;&gt;0</formula>
    </cfRule>
  </conditionalFormatting>
  <conditionalFormatting sqref="J114">
    <cfRule type="expression" dxfId="0" priority="45" stopIfTrue="1">
      <formula>N718&lt;&gt;0</formula>
    </cfRule>
  </conditionalFormatting>
  <conditionalFormatting sqref="J115">
    <cfRule type="expression" dxfId="0" priority="28" stopIfTrue="1">
      <formula>N720&lt;&gt;0</formula>
    </cfRule>
  </conditionalFormatting>
  <conditionalFormatting sqref="J116">
    <cfRule type="expression" dxfId="0" priority="40" stopIfTrue="1">
      <formula>N722&lt;&gt;0</formula>
    </cfRule>
  </conditionalFormatting>
  <conditionalFormatting sqref="J128">
    <cfRule type="expression" dxfId="0" priority="18" stopIfTrue="1">
      <formula>N735&lt;&gt;0</formula>
    </cfRule>
  </conditionalFormatting>
  <conditionalFormatting sqref="J129">
    <cfRule type="expression" dxfId="0" priority="51" stopIfTrue="1">
      <formula>N737&lt;&gt;0</formula>
    </cfRule>
  </conditionalFormatting>
  <conditionalFormatting sqref="J130">
    <cfRule type="expression" dxfId="0" priority="49" stopIfTrue="1">
      <formula>N736&lt;&gt;0</formula>
    </cfRule>
  </conditionalFormatting>
  <conditionalFormatting sqref="J131">
    <cfRule type="expression" dxfId="0" priority="16" stopIfTrue="1">
      <formula>N738&lt;&gt;0</formula>
    </cfRule>
  </conditionalFormatting>
  <conditionalFormatting sqref="J132">
    <cfRule type="expression" dxfId="0" priority="1" stopIfTrue="1">
      <formula>N739&lt;&gt;0</formula>
    </cfRule>
  </conditionalFormatting>
  <conditionalFormatting sqref="J153">
    <cfRule type="expression" dxfId="0" priority="42" stopIfTrue="1">
      <formula>N741&lt;&gt;0</formula>
    </cfRule>
  </conditionalFormatting>
  <conditionalFormatting sqref="J167">
    <cfRule type="expression" dxfId="0" priority="57" stopIfTrue="1">
      <formula>N756&lt;&gt;0</formula>
    </cfRule>
  </conditionalFormatting>
  <conditionalFormatting sqref="J4:J17">
    <cfRule type="expression" dxfId="0" priority="124" stopIfTrue="1">
      <formula>N597&lt;&gt;0</formula>
    </cfRule>
  </conditionalFormatting>
  <conditionalFormatting sqref="J18:J19">
    <cfRule type="expression" dxfId="0" priority="119" stopIfTrue="1">
      <formula>N627&lt;&gt;0</formula>
    </cfRule>
  </conditionalFormatting>
  <conditionalFormatting sqref="J20:J21">
    <cfRule type="expression" dxfId="0" priority="100" stopIfTrue="1">
      <formula>N629&lt;&gt;0</formula>
    </cfRule>
  </conditionalFormatting>
  <conditionalFormatting sqref="J22:J23">
    <cfRule type="expression" dxfId="0" priority="98" stopIfTrue="1">
      <formula>N631&lt;&gt;0</formula>
    </cfRule>
  </conditionalFormatting>
  <conditionalFormatting sqref="J24:J25">
    <cfRule type="expression" dxfId="0" priority="96" stopIfTrue="1">
      <formula>N633&lt;&gt;0</formula>
    </cfRule>
  </conditionalFormatting>
  <conditionalFormatting sqref="J33:J35">
    <cfRule type="expression" dxfId="0" priority="102" stopIfTrue="1">
      <formula>N644&lt;&gt;0</formula>
    </cfRule>
  </conditionalFormatting>
  <conditionalFormatting sqref="J36:J37">
    <cfRule type="expression" dxfId="0" priority="90" stopIfTrue="1">
      <formula>N647&lt;&gt;0</formula>
    </cfRule>
  </conditionalFormatting>
  <conditionalFormatting sqref="J38:J39">
    <cfRule type="expression" dxfId="0" priority="88" stopIfTrue="1">
      <formula>N649&lt;&gt;0</formula>
    </cfRule>
  </conditionalFormatting>
  <conditionalFormatting sqref="J40:J41">
    <cfRule type="expression" dxfId="0" priority="86" stopIfTrue="1">
      <formula>N651&lt;&gt;0</formula>
    </cfRule>
  </conditionalFormatting>
  <conditionalFormatting sqref="J42:J43">
    <cfRule type="expression" dxfId="0" priority="84" stopIfTrue="1">
      <formula>N653&lt;&gt;0</formula>
    </cfRule>
  </conditionalFormatting>
  <conditionalFormatting sqref="J49:J68">
    <cfRule type="expression" dxfId="0" priority="67" stopIfTrue="1">
      <formula>N660&lt;&gt;0</formula>
    </cfRule>
  </conditionalFormatting>
  <conditionalFormatting sqref="J70:J72">
    <cfRule type="expression" dxfId="0" priority="79" stopIfTrue="1">
      <formula>N663&lt;&gt;0</formula>
    </cfRule>
  </conditionalFormatting>
  <conditionalFormatting sqref="J73:J74">
    <cfRule type="expression" dxfId="0" priority="77" stopIfTrue="1">
      <formula>N666&lt;&gt;0</formula>
    </cfRule>
  </conditionalFormatting>
  <conditionalFormatting sqref="J75:J76">
    <cfRule type="expression" dxfId="0" priority="75" stopIfTrue="1">
      <formula>N668&lt;&gt;0</formula>
    </cfRule>
  </conditionalFormatting>
  <conditionalFormatting sqref="J77:J78">
    <cfRule type="expression" dxfId="0" priority="73" stopIfTrue="1">
      <formula>N670&lt;&gt;0</formula>
    </cfRule>
  </conditionalFormatting>
  <conditionalFormatting sqref="J79:J80">
    <cfRule type="expression" dxfId="0" priority="71" stopIfTrue="1">
      <formula>N672&lt;&gt;0</formula>
    </cfRule>
  </conditionalFormatting>
  <conditionalFormatting sqref="J81:J82">
    <cfRule type="expression" dxfId="0" priority="69" stopIfTrue="1">
      <formula>N674&lt;&gt;0</formula>
    </cfRule>
  </conditionalFormatting>
  <conditionalFormatting sqref="J84:J101">
    <cfRule type="expression" dxfId="0" priority="59" stopIfTrue="1">
      <formula>N677&lt;&gt;0</formula>
    </cfRule>
  </conditionalFormatting>
  <conditionalFormatting sqref="J102:J103">
    <cfRule type="expression" dxfId="0" priority="55" stopIfTrue="1">
      <formula>N707&lt;&gt;0</formula>
    </cfRule>
  </conditionalFormatting>
  <conditionalFormatting sqref="J104:J105">
    <cfRule type="expression" dxfId="0" priority="36" stopIfTrue="1">
      <formula>N709&lt;&gt;0</formula>
    </cfRule>
  </conditionalFormatting>
  <conditionalFormatting sqref="J106:J107">
    <cfRule type="expression" dxfId="0" priority="34" stopIfTrue="1">
      <formula>N711&lt;&gt;0</formula>
    </cfRule>
  </conditionalFormatting>
  <conditionalFormatting sqref="J108:J109">
    <cfRule type="expression" dxfId="0" priority="32" stopIfTrue="1">
      <formula>N713&lt;&gt;0</formula>
    </cfRule>
  </conditionalFormatting>
  <conditionalFormatting sqref="J117:J119">
    <cfRule type="expression" dxfId="0" priority="38" stopIfTrue="1">
      <formula>N724&lt;&gt;0</formula>
    </cfRule>
  </conditionalFormatting>
  <conditionalFormatting sqref="J120:J121">
    <cfRule type="expression" dxfId="0" priority="26" stopIfTrue="1">
      <formula>N727&lt;&gt;0</formula>
    </cfRule>
  </conditionalFormatting>
  <conditionalFormatting sqref="J122:J123">
    <cfRule type="expression" dxfId="0" priority="24" stopIfTrue="1">
      <formula>N729&lt;&gt;0</formula>
    </cfRule>
  </conditionalFormatting>
  <conditionalFormatting sqref="J124:J125">
    <cfRule type="expression" dxfId="0" priority="22" stopIfTrue="1">
      <formula>N731&lt;&gt;0</formula>
    </cfRule>
  </conditionalFormatting>
  <conditionalFormatting sqref="J126:J127">
    <cfRule type="expression" dxfId="0" priority="20" stopIfTrue="1">
      <formula>N733&lt;&gt;0</formula>
    </cfRule>
  </conditionalFormatting>
  <conditionalFormatting sqref="J133:J152">
    <cfRule type="expression" dxfId="0" priority="3" stopIfTrue="1">
      <formula>N740&lt;&gt;0</formula>
    </cfRule>
  </conditionalFormatting>
  <conditionalFormatting sqref="J154:J156">
    <cfRule type="expression" dxfId="0" priority="15" stopIfTrue="1">
      <formula>N743&lt;&gt;0</formula>
    </cfRule>
  </conditionalFormatting>
  <conditionalFormatting sqref="J157:J158">
    <cfRule type="expression" dxfId="0" priority="13" stopIfTrue="1">
      <formula>N746&lt;&gt;0</formula>
    </cfRule>
  </conditionalFormatting>
  <conditionalFormatting sqref="J159:J160">
    <cfRule type="expression" dxfId="0" priority="11" stopIfTrue="1">
      <formula>N748&lt;&gt;0</formula>
    </cfRule>
  </conditionalFormatting>
  <conditionalFormatting sqref="J161:J162">
    <cfRule type="expression" dxfId="0" priority="9" stopIfTrue="1">
      <formula>N750&lt;&gt;0</formula>
    </cfRule>
  </conditionalFormatting>
  <conditionalFormatting sqref="J163:J164">
    <cfRule type="expression" dxfId="0" priority="7" stopIfTrue="1">
      <formula>N752&lt;&gt;0</formula>
    </cfRule>
  </conditionalFormatting>
  <conditionalFormatting sqref="J165:J166">
    <cfRule type="expression" dxfId="0" priority="5" stopIfTrue="1">
      <formula>N754&lt;&gt;0</formula>
    </cfRule>
  </conditionalFormatting>
  <conditionalFormatting sqref="K4:K16">
    <cfRule type="expression" dxfId="1" priority="123" stopIfTrue="1">
      <formula>$G103&lt;&gt;0</formula>
    </cfRule>
    <cfRule type="expression" dxfId="1" priority="126" stopIfTrue="1">
      <formula>$G115&lt;&gt;0</formula>
    </cfRule>
  </conditionalFormatting>
  <conditionalFormatting sqref="K17:K21">
    <cfRule type="expression" dxfId="1" priority="127" stopIfTrue="1">
      <formula>$G116&lt;&gt;0</formula>
    </cfRule>
    <cfRule type="expression" dxfId="1" priority="128" stopIfTrue="1">
      <formula>$G212&lt;&gt;0</formula>
    </cfRule>
  </conditionalFormatting>
  <conditionalFormatting sqref="K22:K39">
    <cfRule type="expression" dxfId="1" priority="63" stopIfTrue="1">
      <formula>$G121&lt;&gt;0</formula>
    </cfRule>
    <cfRule type="expression" dxfId="1" priority="64" stopIfTrue="1">
      <formula>$G217&lt;&gt;0</formula>
    </cfRule>
  </conditionalFormatting>
  <conditionalFormatting sqref="K40:K83">
    <cfRule type="expression" dxfId="1" priority="129" stopIfTrue="1">
      <formula>$G223&lt;&gt;0</formula>
    </cfRule>
    <cfRule type="expression" dxfId="1" priority="130" stopIfTrue="1">
      <formula>$G235&lt;&gt;0</formula>
    </cfRule>
  </conditionalFormatting>
  <conditionalFormatting sqref="K84:K167">
    <cfRule type="expression" dxfId="1" priority="61" stopIfTrue="1">
      <formula>$G84&lt;&gt;0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J79"/>
  <sheetViews>
    <sheetView zoomScale="85" zoomScaleNormal="85" topLeftCell="AR1" workbookViewId="0">
      <pane ySplit="3" topLeftCell="A4" activePane="bottomLeft" state="frozen"/>
      <selection/>
      <selection pane="bottomLeft" activeCell="AZ62" sqref="AZ62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/>
    <col min="6" max="6" width="20.75" style="106" customWidth="1"/>
    <col min="7" max="7" width="25.4666666666667" style="106" customWidth="1"/>
    <col min="8" max="8" width="13.375" style="106" hidden="1" customWidth="1"/>
    <col min="9" max="9" width="11.25" style="106" customWidth="1"/>
    <col min="10" max="10" width="12.875" style="106"/>
    <col min="11" max="11" width="12.875" style="106" customWidth="1"/>
    <col min="12" max="12" width="12.625" style="106" customWidth="1"/>
    <col min="13" max="13" width="19.375" style="106" customWidth="1"/>
    <col min="14" max="14" width="14.8333333333333" style="108" customWidth="1"/>
    <col min="15" max="15" width="13.375" style="106" customWidth="1"/>
    <col min="16" max="17" width="9" style="106" customWidth="1"/>
    <col min="18" max="18" width="18.5" style="106" customWidth="1"/>
    <col min="19" max="19" width="12.375" style="106" customWidth="1"/>
    <col min="20" max="20" width="15" style="106" customWidth="1"/>
    <col min="21" max="21" width="14.625" style="106" customWidth="1"/>
    <col min="22" max="22" width="17" style="106" customWidth="1"/>
    <col min="23" max="23" width="15.125" style="106" customWidth="1"/>
    <col min="24" max="24" width="17.625" style="106" customWidth="1"/>
    <col min="25" max="25" width="16.75" style="106" customWidth="1"/>
    <col min="26" max="26" width="17.5" style="106" customWidth="1"/>
    <col min="27" max="33" width="14.75" style="106" customWidth="1"/>
    <col min="34" max="34" width="17.875" style="108" customWidth="1"/>
    <col min="35" max="35" width="13.625" style="108" customWidth="1"/>
    <col min="36" max="36" width="9" style="108" customWidth="1"/>
    <col min="37" max="37" width="17.875" style="108" customWidth="1"/>
    <col min="38" max="38" width="15.125" style="106" customWidth="1"/>
    <col min="39" max="39" width="14.75" style="106" customWidth="1"/>
    <col min="40" max="40" width="9" style="106" customWidth="1"/>
    <col min="41" max="41" width="18.125" style="106" customWidth="1"/>
    <col min="42" max="42" width="14.875" style="109" customWidth="1"/>
    <col min="43" max="44" width="17.875" style="106" customWidth="1"/>
    <col min="45" max="45" width="15.375" style="106" customWidth="1"/>
    <col min="46" max="51" width="17.875" style="106" customWidth="1"/>
    <col min="52" max="58" width="11.5" style="106" customWidth="1"/>
    <col min="59" max="59" width="15.375" style="106" customWidth="1"/>
    <col min="60" max="60" width="13.9" style="106" customWidth="1"/>
    <col min="61" max="16384" width="9" style="106"/>
  </cols>
  <sheetData>
    <row r="1" s="101" customFormat="1" customHeight="1" spans="1:62">
      <c r="A1" s="110" t="s">
        <v>6356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1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1"/>
      <c r="AI1" s="111"/>
      <c r="AJ1" s="111"/>
      <c r="AK1" s="111"/>
      <c r="AL1" s="110"/>
      <c r="AM1" s="110"/>
      <c r="AN1" s="110"/>
      <c r="AP1" s="112"/>
    </row>
    <row r="2" s="102" customFormat="1" customHeight="1" spans="1:62">
      <c r="A2" s="110" t="s">
        <v>38</v>
      </c>
      <c r="B2" s="102" t="s">
        <v>172</v>
      </c>
      <c r="C2" s="113" t="s">
        <v>173</v>
      </c>
      <c r="D2" s="102" t="s">
        <v>174</v>
      </c>
      <c r="F2" s="102" t="s">
        <v>176</v>
      </c>
      <c r="G2" s="102" t="s">
        <v>177</v>
      </c>
      <c r="H2" s="102" t="s">
        <v>175</v>
      </c>
      <c r="I2" s="102" t="s">
        <v>179</v>
      </c>
      <c r="J2" s="114" t="s">
        <v>1145</v>
      </c>
      <c r="K2" s="102" t="s">
        <v>181</v>
      </c>
      <c r="L2" s="102" t="s">
        <v>182</v>
      </c>
      <c r="M2" s="115" t="s">
        <v>183</v>
      </c>
      <c r="N2" s="116" t="s">
        <v>184</v>
      </c>
      <c r="O2" s="117" t="s">
        <v>186</v>
      </c>
      <c r="P2" s="118"/>
      <c r="Q2" s="118"/>
      <c r="R2" s="119" t="s">
        <v>187</v>
      </c>
      <c r="S2" s="120" t="s">
        <v>188</v>
      </c>
      <c r="T2" s="110" t="s">
        <v>189</v>
      </c>
      <c r="U2" s="120" t="s">
        <v>190</v>
      </c>
      <c r="V2" s="115" t="s">
        <v>191</v>
      </c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1" t="s">
        <v>192</v>
      </c>
      <c r="AI2" s="116" t="s">
        <v>56</v>
      </c>
      <c r="AJ2" s="111" t="s">
        <v>194</v>
      </c>
      <c r="AK2" s="111" t="s">
        <v>59</v>
      </c>
      <c r="AL2" s="102" t="s">
        <v>195</v>
      </c>
      <c r="AM2" s="102" t="s">
        <v>47</v>
      </c>
      <c r="AN2" s="102" t="s">
        <v>1147</v>
      </c>
      <c r="AO2" s="121" t="s">
        <v>205</v>
      </c>
      <c r="AP2" s="121" t="s">
        <v>206</v>
      </c>
      <c r="AQ2" s="122" t="s">
        <v>5511</v>
      </c>
      <c r="AR2" s="122" t="s">
        <v>3207</v>
      </c>
      <c r="AS2" s="122" t="s">
        <v>3208</v>
      </c>
      <c r="AT2" s="122" t="s">
        <v>6357</v>
      </c>
      <c r="AU2" s="122" t="s">
        <v>6358</v>
      </c>
      <c r="AV2" s="122" t="s">
        <v>6359</v>
      </c>
      <c r="AW2" s="122" t="s">
        <v>6360</v>
      </c>
      <c r="AX2" s="122" t="s">
        <v>3213</v>
      </c>
      <c r="AY2" s="122" t="s">
        <v>3214</v>
      </c>
      <c r="AZ2" s="122" t="s">
        <v>3215</v>
      </c>
      <c r="BA2" s="122" t="s">
        <v>3216</v>
      </c>
      <c r="BB2" s="122" t="s">
        <v>3217</v>
      </c>
      <c r="BC2" s="122" t="s">
        <v>3218</v>
      </c>
      <c r="BD2" s="122" t="s">
        <v>3219</v>
      </c>
      <c r="BE2" s="122" t="s">
        <v>3220</v>
      </c>
      <c r="BF2" s="123"/>
      <c r="BG2" s="102" t="s">
        <v>235</v>
      </c>
      <c r="BI2" s="102" t="s">
        <v>108</v>
      </c>
      <c r="BJ2" s="102" t="s">
        <v>236</v>
      </c>
    </row>
    <row r="3" s="102" customFormat="1" customHeight="1" spans="1:62">
      <c r="A3" s="110"/>
      <c r="C3" s="113"/>
      <c r="E3" s="102" t="s">
        <v>1176</v>
      </c>
      <c r="J3" s="117"/>
      <c r="M3" s="115"/>
      <c r="N3" s="116"/>
      <c r="O3" s="117" t="s">
        <v>238</v>
      </c>
      <c r="P3" s="118" t="s">
        <v>1177</v>
      </c>
      <c r="Q3" s="118" t="s">
        <v>1178</v>
      </c>
      <c r="R3" s="115"/>
      <c r="S3" s="120"/>
      <c r="T3" s="110"/>
      <c r="U3" s="120"/>
      <c r="V3" s="115" t="s">
        <v>240</v>
      </c>
      <c r="W3" s="102" t="s">
        <v>241</v>
      </c>
      <c r="X3" s="115" t="s">
        <v>242</v>
      </c>
      <c r="Y3" s="124" t="s">
        <v>241</v>
      </c>
      <c r="Z3" s="102" t="s">
        <v>243</v>
      </c>
      <c r="AA3" s="117" t="s">
        <v>241</v>
      </c>
      <c r="AB3" s="115" t="s">
        <v>244</v>
      </c>
      <c r="AC3" s="102" t="s">
        <v>241</v>
      </c>
      <c r="AD3" s="102" t="s">
        <v>245</v>
      </c>
      <c r="AE3" s="102" t="s">
        <v>241</v>
      </c>
      <c r="AF3" s="102" t="s">
        <v>246</v>
      </c>
      <c r="AG3" s="102" t="s">
        <v>241</v>
      </c>
      <c r="AH3" s="111"/>
      <c r="AI3" s="111"/>
      <c r="AJ3" s="111"/>
      <c r="AK3" s="111"/>
      <c r="AO3" s="121"/>
      <c r="AP3" s="121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3"/>
    </row>
    <row r="4" s="103" customFormat="1" hidden="1" customHeight="1" spans="1:62">
      <c r="A4" s="103">
        <v>1</v>
      </c>
      <c r="B4" s="125"/>
      <c r="C4" s="126">
        <v>45734</v>
      </c>
      <c r="D4" s="103">
        <v>20250001362</v>
      </c>
      <c r="E4" s="103"/>
      <c r="F4" s="103"/>
      <c r="G4" s="127" t="s">
        <v>6361</v>
      </c>
      <c r="H4" s="103"/>
      <c r="I4" s="125" t="s">
        <v>6362</v>
      </c>
      <c r="J4" s="128">
        <v>86.11</v>
      </c>
      <c r="K4" s="103">
        <v>86.11</v>
      </c>
      <c r="L4" s="103">
        <v>20000</v>
      </c>
      <c r="M4" s="103">
        <v>1722200</v>
      </c>
      <c r="N4" s="129">
        <v>20000</v>
      </c>
      <c r="O4" s="103"/>
      <c r="P4" s="103"/>
      <c r="Q4" s="103"/>
      <c r="R4" s="103"/>
      <c r="S4" s="103"/>
      <c r="T4" s="103"/>
      <c r="U4" s="103" t="s">
        <v>267</v>
      </c>
      <c r="V4" s="103">
        <v>100000</v>
      </c>
      <c r="W4" s="103" t="s">
        <v>4852</v>
      </c>
      <c r="X4" s="103">
        <f>200000+562200</f>
        <v>762200</v>
      </c>
      <c r="Y4" s="103" t="s">
        <v>794</v>
      </c>
      <c r="Z4" s="103"/>
      <c r="AA4" s="103"/>
      <c r="AB4" s="103"/>
      <c r="AC4" s="103"/>
      <c r="AD4" s="103"/>
      <c r="AE4" s="103"/>
      <c r="AF4" s="103"/>
      <c r="AG4" s="103"/>
      <c r="AH4" s="130">
        <f t="shared" ref="AH4:AH13" si="0">V4+X4+Z4+AB4+AD4+AF4</f>
        <v>862200</v>
      </c>
      <c r="AI4" s="130"/>
      <c r="AJ4" s="130"/>
      <c r="AK4" s="130">
        <f t="shared" ref="AK4:AK12" si="1">M4-AH4</f>
        <v>860000</v>
      </c>
      <c r="AL4" s="103">
        <v>15109969288</v>
      </c>
      <c r="AM4" s="103" t="s">
        <v>574</v>
      </c>
      <c r="AN4" s="103"/>
      <c r="AO4" s="103">
        <f>SUM(AQ4:BF4)</f>
        <v>862200</v>
      </c>
      <c r="AP4" s="131">
        <f>1%+0.25%+0.03%</f>
        <v>0.0128</v>
      </c>
      <c r="AS4" s="103">
        <v>862200</v>
      </c>
      <c r="BI4" s="103" t="s">
        <v>260</v>
      </c>
    </row>
    <row r="5" s="103" customFormat="1" hidden="1" customHeight="1" spans="1:62">
      <c r="A5" s="103">
        <v>2</v>
      </c>
      <c r="B5" s="125"/>
      <c r="C5" s="103"/>
      <c r="D5" s="103"/>
      <c r="E5" s="103"/>
      <c r="F5" s="103"/>
      <c r="G5" s="127" t="s">
        <v>6361</v>
      </c>
      <c r="H5" s="103"/>
      <c r="I5" s="125" t="s">
        <v>6363</v>
      </c>
      <c r="J5" s="128">
        <v>54.01</v>
      </c>
      <c r="K5" s="103">
        <v>54.01</v>
      </c>
      <c r="L5" s="103">
        <v>17800</v>
      </c>
      <c r="M5" s="103">
        <v>961378</v>
      </c>
      <c r="N5" s="129">
        <v>17800</v>
      </c>
      <c r="O5" s="103"/>
      <c r="P5" s="103"/>
      <c r="Q5" s="103"/>
      <c r="R5" s="103"/>
      <c r="S5" s="103"/>
      <c r="T5" s="103"/>
      <c r="U5" s="127" t="s">
        <v>267</v>
      </c>
      <c r="V5" s="103">
        <v>100000</v>
      </c>
      <c r="W5" s="103" t="s">
        <v>4852</v>
      </c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30">
        <f t="shared" si="0"/>
        <v>100000</v>
      </c>
      <c r="AI5" s="130"/>
      <c r="AJ5" s="130"/>
      <c r="AK5" s="130">
        <f t="shared" si="1"/>
        <v>861378</v>
      </c>
      <c r="AL5" s="103">
        <v>15109969288</v>
      </c>
      <c r="AM5" s="103" t="s">
        <v>574</v>
      </c>
      <c r="AO5" s="103">
        <f t="shared" ref="AO5:AO36" si="2">SUM(AQ5:BF5)</f>
        <v>0</v>
      </c>
      <c r="AP5" s="131">
        <f>1%+0.25%+0.03%</f>
        <v>0.0128</v>
      </c>
    </row>
    <row r="6" s="103" customFormat="1" hidden="1" customHeight="1" spans="1:62">
      <c r="A6" s="103">
        <v>3</v>
      </c>
      <c r="B6" s="125"/>
      <c r="C6" s="126">
        <v>45779</v>
      </c>
      <c r="D6" s="103">
        <v>20250002358</v>
      </c>
      <c r="E6" s="103"/>
      <c r="F6" s="1046" t="s">
        <v>6364</v>
      </c>
      <c r="G6" s="103" t="s">
        <v>6365</v>
      </c>
      <c r="H6" s="103"/>
      <c r="I6" s="125" t="s">
        <v>6366</v>
      </c>
      <c r="J6" s="128">
        <v>104.3</v>
      </c>
      <c r="K6" s="103">
        <v>104.3</v>
      </c>
      <c r="L6" s="103">
        <v>17500</v>
      </c>
      <c r="M6" s="103">
        <v>1825250</v>
      </c>
      <c r="N6" s="129">
        <v>17500</v>
      </c>
      <c r="O6" s="103"/>
      <c r="P6" s="103"/>
      <c r="Q6" s="103"/>
      <c r="R6" s="103"/>
      <c r="S6" s="126"/>
      <c r="T6" s="103"/>
      <c r="U6" s="103" t="s">
        <v>267</v>
      </c>
      <c r="V6" s="103">
        <v>50000</v>
      </c>
      <c r="W6" s="103" t="s">
        <v>3384</v>
      </c>
      <c r="X6" s="103">
        <f>340000+110000</f>
        <v>450000</v>
      </c>
      <c r="Y6" s="103" t="s">
        <v>3877</v>
      </c>
      <c r="Z6" s="103">
        <v>410000</v>
      </c>
      <c r="AA6" s="103" t="s">
        <v>5799</v>
      </c>
      <c r="AB6" s="103">
        <v>5250</v>
      </c>
      <c r="AC6" s="103" t="s">
        <v>3563</v>
      </c>
      <c r="AD6" s="103">
        <v>300000</v>
      </c>
      <c r="AE6" s="126">
        <v>45884</v>
      </c>
      <c r="AF6" s="103">
        <f>300000+310000</f>
        <v>610000</v>
      </c>
      <c r="AG6" s="132" t="s">
        <v>6367</v>
      </c>
      <c r="AH6" s="130">
        <f t="shared" si="0"/>
        <v>1825250</v>
      </c>
      <c r="AI6" s="130"/>
      <c r="AJ6" s="130"/>
      <c r="AK6" s="130">
        <f t="shared" si="1"/>
        <v>0</v>
      </c>
      <c r="AL6" s="103">
        <v>13150253833</v>
      </c>
      <c r="AM6" s="103" t="s">
        <v>386</v>
      </c>
      <c r="AO6" s="103">
        <f t="shared" si="2"/>
        <v>1825250</v>
      </c>
      <c r="AP6" s="131">
        <f>1%+0.25%+0.03%</f>
        <v>0.0128</v>
      </c>
      <c r="AU6" s="103">
        <v>915250</v>
      </c>
      <c r="BA6" s="103">
        <v>910000</v>
      </c>
      <c r="BI6" s="103" t="s">
        <v>260</v>
      </c>
    </row>
    <row r="7" s="103" customFormat="1" hidden="1" customHeight="1" spans="1:62">
      <c r="A7" s="103">
        <v>4</v>
      </c>
      <c r="B7" s="125"/>
      <c r="C7" s="126">
        <v>45782</v>
      </c>
      <c r="D7" s="103">
        <v>20250002558</v>
      </c>
      <c r="E7" s="103"/>
      <c r="F7" s="1046" t="s">
        <v>6368</v>
      </c>
      <c r="G7" s="103" t="s">
        <v>6369</v>
      </c>
      <c r="H7" s="103"/>
      <c r="I7" s="125" t="s">
        <v>6370</v>
      </c>
      <c r="J7" s="128">
        <v>48.88</v>
      </c>
      <c r="K7" s="103">
        <v>48.88</v>
      </c>
      <c r="L7" s="103">
        <v>17860.06</v>
      </c>
      <c r="M7" s="103">
        <v>873000</v>
      </c>
      <c r="N7" s="129">
        <v>17860.06</v>
      </c>
      <c r="O7" s="103"/>
      <c r="P7" s="103"/>
      <c r="Q7" s="103"/>
      <c r="R7" s="103"/>
      <c r="S7" s="126"/>
      <c r="T7" s="103"/>
      <c r="U7" s="103" t="s">
        <v>257</v>
      </c>
      <c r="V7" s="103">
        <v>20000</v>
      </c>
      <c r="W7" s="103" t="s">
        <v>4127</v>
      </c>
      <c r="X7" s="103">
        <v>480000</v>
      </c>
      <c r="Y7" s="103" t="s">
        <v>3563</v>
      </c>
      <c r="Z7" s="103">
        <v>73000</v>
      </c>
      <c r="AA7" s="103" t="s">
        <v>2633</v>
      </c>
      <c r="AB7" s="103">
        <v>300000</v>
      </c>
      <c r="AC7" s="126">
        <v>45867</v>
      </c>
      <c r="AD7" s="103"/>
      <c r="AE7" s="103"/>
      <c r="AF7" s="103"/>
      <c r="AG7" s="103"/>
      <c r="AH7" s="130">
        <f t="shared" si="0"/>
        <v>873000</v>
      </c>
      <c r="AI7" s="130"/>
      <c r="AJ7" s="130"/>
      <c r="AK7" s="130">
        <f t="shared" si="1"/>
        <v>0</v>
      </c>
      <c r="AL7" s="103">
        <v>18703021005</v>
      </c>
      <c r="AM7" s="103" t="s">
        <v>574</v>
      </c>
      <c r="AN7" s="103"/>
      <c r="AO7" s="103">
        <f t="shared" si="2"/>
        <v>873000</v>
      </c>
      <c r="AP7" s="131">
        <f t="shared" ref="AP7:AP9" si="3">1%+0.18%+0.14%+0.03%</f>
        <v>0.0135</v>
      </c>
      <c r="AW7" s="103">
        <v>873000</v>
      </c>
      <c r="BI7" s="103" t="s">
        <v>260</v>
      </c>
    </row>
    <row r="8" s="103" customFormat="1" hidden="1" customHeight="1" spans="1:62">
      <c r="A8" s="103">
        <v>5</v>
      </c>
      <c r="B8" s="125"/>
      <c r="C8" s="126">
        <v>45778</v>
      </c>
      <c r="D8" s="103">
        <v>20250002330</v>
      </c>
      <c r="E8" s="103"/>
      <c r="F8" s="1046" t="s">
        <v>6371</v>
      </c>
      <c r="G8" s="103" t="s">
        <v>6372</v>
      </c>
      <c r="H8" s="103"/>
      <c r="I8" s="125" t="s">
        <v>6373</v>
      </c>
      <c r="J8" s="128">
        <v>49.18</v>
      </c>
      <c r="K8" s="103">
        <v>49.18</v>
      </c>
      <c r="L8" s="133">
        <v>17893.45</v>
      </c>
      <c r="M8" s="103">
        <v>880000</v>
      </c>
      <c r="N8" s="129">
        <v>17893.45</v>
      </c>
      <c r="O8" s="103"/>
      <c r="P8" s="103"/>
      <c r="Q8" s="103"/>
      <c r="R8" s="103">
        <v>440000</v>
      </c>
      <c r="S8" s="126">
        <v>46092</v>
      </c>
      <c r="T8" s="103"/>
      <c r="U8" s="103" t="s">
        <v>370</v>
      </c>
      <c r="V8" s="103">
        <v>100000</v>
      </c>
      <c r="W8" s="103" t="s">
        <v>2689</v>
      </c>
      <c r="X8" s="103">
        <v>340000</v>
      </c>
      <c r="Y8" s="103" t="s">
        <v>3239</v>
      </c>
      <c r="Z8" s="103">
        <v>440000</v>
      </c>
      <c r="AA8" s="126">
        <v>46092</v>
      </c>
      <c r="AB8" s="103"/>
      <c r="AC8" s="103"/>
      <c r="AD8" s="103"/>
      <c r="AE8" s="103"/>
      <c r="AF8" s="103"/>
      <c r="AG8" s="103"/>
      <c r="AH8" s="130">
        <f t="shared" si="0"/>
        <v>880000</v>
      </c>
      <c r="AI8" s="130"/>
      <c r="AJ8" s="130"/>
      <c r="AK8" s="130">
        <f t="shared" si="1"/>
        <v>0</v>
      </c>
      <c r="AL8" s="103">
        <v>18197908180</v>
      </c>
      <c r="AM8" s="103" t="s">
        <v>574</v>
      </c>
      <c r="AO8" s="103">
        <f t="shared" si="2"/>
        <v>880000</v>
      </c>
      <c r="AP8" s="131">
        <f t="shared" si="3"/>
        <v>0.0135</v>
      </c>
      <c r="AU8" s="103">
        <v>440000</v>
      </c>
      <c r="BE8" s="103">
        <v>440000</v>
      </c>
      <c r="BI8" s="103" t="s">
        <v>260</v>
      </c>
    </row>
    <row r="9" s="103" customFormat="1" hidden="1" customHeight="1" spans="1:62">
      <c r="A9" s="103">
        <v>6</v>
      </c>
      <c r="B9" s="125"/>
      <c r="C9" s="126">
        <v>45781</v>
      </c>
      <c r="D9" s="103">
        <v>20250002504</v>
      </c>
      <c r="E9" s="103"/>
      <c r="F9" s="1046" t="s">
        <v>6374</v>
      </c>
      <c r="G9" s="103" t="s">
        <v>6375</v>
      </c>
      <c r="H9" s="103"/>
      <c r="I9" s="125" t="s">
        <v>6376</v>
      </c>
      <c r="J9" s="128">
        <v>50.43</v>
      </c>
      <c r="K9" s="103">
        <v>50.43</v>
      </c>
      <c r="L9" s="103">
        <v>17945.66</v>
      </c>
      <c r="M9" s="103">
        <v>905000</v>
      </c>
      <c r="N9" s="129">
        <v>17899.57</v>
      </c>
      <c r="O9" s="103"/>
      <c r="P9" s="103"/>
      <c r="Q9" s="103"/>
      <c r="R9" s="103"/>
      <c r="S9" s="103"/>
      <c r="T9" s="103"/>
      <c r="U9" s="103" t="s">
        <v>408</v>
      </c>
      <c r="V9" s="103">
        <v>100000</v>
      </c>
      <c r="W9" s="103" t="s">
        <v>3252</v>
      </c>
      <c r="X9" s="103">
        <v>805000</v>
      </c>
      <c r="Y9" s="103" t="s">
        <v>5799</v>
      </c>
      <c r="Z9" s="103"/>
      <c r="AA9" s="103"/>
      <c r="AB9" s="103"/>
      <c r="AC9" s="103"/>
      <c r="AD9" s="103"/>
      <c r="AE9" s="103"/>
      <c r="AF9" s="103"/>
      <c r="AG9" s="103"/>
      <c r="AH9" s="130">
        <f t="shared" si="0"/>
        <v>905000</v>
      </c>
      <c r="AI9" s="130"/>
      <c r="AJ9" s="130"/>
      <c r="AK9" s="130">
        <f t="shared" si="1"/>
        <v>0</v>
      </c>
      <c r="AL9" s="103">
        <v>18096807590</v>
      </c>
      <c r="AM9" s="103" t="s">
        <v>574</v>
      </c>
      <c r="AN9" s="103"/>
      <c r="AO9" s="103">
        <f t="shared" si="2"/>
        <v>905000</v>
      </c>
      <c r="AP9" s="131">
        <f t="shared" si="3"/>
        <v>0.0135</v>
      </c>
      <c r="AU9" s="103">
        <v>905000</v>
      </c>
      <c r="BI9" s="103" t="s">
        <v>260</v>
      </c>
    </row>
    <row r="10" s="103" customFormat="1" hidden="1" customHeight="1" spans="1:62">
      <c r="A10" s="103">
        <v>7</v>
      </c>
      <c r="B10" s="125"/>
      <c r="C10" s="126">
        <v>45714</v>
      </c>
      <c r="D10" s="103">
        <v>20250000848</v>
      </c>
      <c r="E10" s="103"/>
      <c r="F10" s="103" t="s">
        <v>6377</v>
      </c>
      <c r="G10" s="103" t="s">
        <v>6378</v>
      </c>
      <c r="H10" s="103"/>
      <c r="I10" s="125" t="s">
        <v>6379</v>
      </c>
      <c r="J10" s="128">
        <v>60.3</v>
      </c>
      <c r="K10" s="103">
        <v>60.3</v>
      </c>
      <c r="L10" s="103">
        <v>18000</v>
      </c>
      <c r="M10" s="103">
        <v>1085400</v>
      </c>
      <c r="N10" s="129">
        <v>17805.78</v>
      </c>
      <c r="O10" s="103"/>
      <c r="P10" s="103"/>
      <c r="Q10" s="103"/>
      <c r="R10" s="103"/>
      <c r="S10" s="103"/>
      <c r="T10" s="1046" t="s">
        <v>3136</v>
      </c>
      <c r="U10" s="103" t="s">
        <v>284</v>
      </c>
      <c r="V10" s="103">
        <v>5000</v>
      </c>
      <c r="W10" s="103" t="s">
        <v>904</v>
      </c>
      <c r="X10" s="103">
        <v>95000</v>
      </c>
      <c r="Y10" s="103" t="s">
        <v>3281</v>
      </c>
      <c r="Z10" s="103">
        <v>985400</v>
      </c>
      <c r="AA10" s="103" t="s">
        <v>6255</v>
      </c>
      <c r="AB10" s="103"/>
      <c r="AC10" s="103"/>
      <c r="AD10" s="103"/>
      <c r="AE10" s="103"/>
      <c r="AF10" s="103"/>
      <c r="AG10" s="103"/>
      <c r="AH10" s="130">
        <f t="shared" si="0"/>
        <v>1085400</v>
      </c>
      <c r="AI10" s="130"/>
      <c r="AJ10" s="130"/>
      <c r="AK10" s="130">
        <f t="shared" si="1"/>
        <v>0</v>
      </c>
      <c r="AL10" s="103">
        <v>13999615069</v>
      </c>
      <c r="AO10" s="103">
        <f t="shared" si="2"/>
        <v>1085400</v>
      </c>
      <c r="AP10" s="131">
        <f>1%+0.18%+0.25%+0.03%</f>
        <v>0.0146</v>
      </c>
      <c r="AR10" s="103">
        <v>1085400</v>
      </c>
      <c r="BI10" s="103" t="s">
        <v>260</v>
      </c>
    </row>
    <row r="11" s="103" customFormat="1" hidden="1" customHeight="1" spans="1:62">
      <c r="A11" s="103">
        <v>8</v>
      </c>
      <c r="B11" s="125"/>
      <c r="C11" s="126">
        <v>45937</v>
      </c>
      <c r="D11" s="103">
        <v>20250005147</v>
      </c>
      <c r="E11" s="103"/>
      <c r="F11" s="1046" t="s">
        <v>6380</v>
      </c>
      <c r="G11" s="103" t="s">
        <v>6381</v>
      </c>
      <c r="H11" s="134"/>
      <c r="I11" s="125" t="s">
        <v>6382</v>
      </c>
      <c r="J11" s="128">
        <v>51.52</v>
      </c>
      <c r="K11" s="103">
        <v>51.52</v>
      </c>
      <c r="L11" s="103">
        <v>17117.39</v>
      </c>
      <c r="M11" s="103">
        <v>881888</v>
      </c>
      <c r="N11" s="129">
        <v>17007.39</v>
      </c>
      <c r="O11" s="103"/>
      <c r="P11" s="103"/>
      <c r="Q11" s="103"/>
      <c r="R11" s="103"/>
      <c r="S11" s="126"/>
      <c r="T11" s="103"/>
      <c r="U11" s="103"/>
      <c r="V11" s="103">
        <f>441888+440000</f>
        <v>881888</v>
      </c>
      <c r="W11" s="126">
        <v>45937</v>
      </c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30">
        <f t="shared" si="0"/>
        <v>881888</v>
      </c>
      <c r="AI11" s="130"/>
      <c r="AJ11" s="130"/>
      <c r="AK11" s="130">
        <f t="shared" si="1"/>
        <v>0</v>
      </c>
      <c r="AO11" s="103">
        <f t="shared" si="2"/>
        <v>881888</v>
      </c>
      <c r="AP11" s="131">
        <f>1%+0.18%+0.14%+0.03%</f>
        <v>0.0135</v>
      </c>
      <c r="AZ11" s="103">
        <v>881888</v>
      </c>
      <c r="BI11" s="103" t="s">
        <v>3258</v>
      </c>
    </row>
    <row r="12" s="103" customFormat="1" hidden="1" customHeight="1" spans="1:62">
      <c r="A12" s="103">
        <v>9</v>
      </c>
      <c r="B12" s="125"/>
      <c r="C12" s="126">
        <v>45833</v>
      </c>
      <c r="D12" s="103">
        <v>20250003411</v>
      </c>
      <c r="E12" s="103"/>
      <c r="F12" s="1046" t="s">
        <v>6383</v>
      </c>
      <c r="G12" s="103" t="s">
        <v>6384</v>
      </c>
      <c r="H12" s="1046" t="s">
        <v>6385</v>
      </c>
      <c r="I12" s="125" t="s">
        <v>6386</v>
      </c>
      <c r="J12" s="128">
        <v>51.52</v>
      </c>
      <c r="K12" s="103">
        <v>51.52</v>
      </c>
      <c r="L12" s="103">
        <v>17274.84</v>
      </c>
      <c r="M12" s="103">
        <v>890000</v>
      </c>
      <c r="N12" s="129">
        <v>17617.66</v>
      </c>
      <c r="O12" s="103">
        <v>17274.84</v>
      </c>
      <c r="P12" s="103"/>
      <c r="Q12" s="103"/>
      <c r="R12" s="103"/>
      <c r="S12" s="103"/>
      <c r="T12" s="103"/>
      <c r="U12" s="103" t="s">
        <v>722</v>
      </c>
      <c r="V12" s="103">
        <v>10000</v>
      </c>
      <c r="W12" s="103" t="s">
        <v>839</v>
      </c>
      <c r="X12" s="103">
        <f>810000+70000</f>
        <v>880000</v>
      </c>
      <c r="Y12" s="103" t="s">
        <v>3564</v>
      </c>
      <c r="Z12" s="103"/>
      <c r="AA12" s="103"/>
      <c r="AB12" s="103"/>
      <c r="AC12" s="103"/>
      <c r="AD12" s="103"/>
      <c r="AE12" s="103"/>
      <c r="AF12" s="103"/>
      <c r="AG12" s="103"/>
      <c r="AH12" s="130">
        <f t="shared" si="0"/>
        <v>890000</v>
      </c>
      <c r="AI12" s="130"/>
      <c r="AJ12" s="130"/>
      <c r="AK12" s="130">
        <f t="shared" si="1"/>
        <v>0</v>
      </c>
      <c r="AL12" s="103">
        <v>18999014233</v>
      </c>
      <c r="AM12" s="103" t="s">
        <v>574</v>
      </c>
      <c r="AN12" s="103"/>
      <c r="AO12" s="103">
        <f t="shared" si="2"/>
        <v>890000</v>
      </c>
      <c r="AP12" s="131">
        <f>1%+0.14%+0.03%</f>
        <v>0.0117</v>
      </c>
      <c r="AV12" s="103">
        <v>890000</v>
      </c>
      <c r="BI12" s="103" t="s">
        <v>260</v>
      </c>
    </row>
    <row r="13" hidden="1" customHeight="1" spans="1:62">
      <c r="A13" s="106">
        <v>10</v>
      </c>
      <c r="I13" s="101" t="s">
        <v>6387</v>
      </c>
      <c r="J13" s="135">
        <v>64.14</v>
      </c>
      <c r="N13" s="136">
        <v>17200</v>
      </c>
      <c r="AH13" s="108">
        <f t="shared" si="0"/>
        <v>0</v>
      </c>
      <c r="AO13" s="103">
        <f t="shared" si="2"/>
        <v>0</v>
      </c>
      <c r="AP13" s="106"/>
    </row>
    <row r="14" hidden="1" customHeight="1" spans="1:62">
      <c r="G14" s="106" t="s">
        <v>6388</v>
      </c>
      <c r="H14" s="106" t="s">
        <v>6388</v>
      </c>
      <c r="I14" s="101" t="s">
        <v>6389</v>
      </c>
      <c r="J14" s="135">
        <v>92.29</v>
      </c>
      <c r="N14" s="136"/>
      <c r="AO14" s="103">
        <f t="shared" si="2"/>
        <v>0</v>
      </c>
      <c r="AP14" s="106"/>
    </row>
    <row r="15" s="104" customFormat="1" hidden="1" customHeight="1" spans="1:62">
      <c r="A15" s="104">
        <v>11</v>
      </c>
      <c r="B15" s="101"/>
      <c r="C15" s="137"/>
      <c r="D15" s="104"/>
      <c r="E15" s="104"/>
      <c r="F15" s="104"/>
      <c r="G15" s="104"/>
      <c r="H15" s="104"/>
      <c r="I15" s="101" t="s">
        <v>6390</v>
      </c>
      <c r="J15" s="135">
        <v>64.81</v>
      </c>
      <c r="K15" s="135"/>
      <c r="L15" s="104"/>
      <c r="M15" s="104"/>
      <c r="N15" s="136">
        <v>17520.94</v>
      </c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38">
        <f t="shared" ref="AH15:AH36" si="4">V15+X15+Z15+AB15+AD15+AF15</f>
        <v>0</v>
      </c>
      <c r="AI15" s="138"/>
      <c r="AJ15" s="138"/>
      <c r="AK15" s="138">
        <f>M15-AH15</f>
        <v>0</v>
      </c>
      <c r="AO15" s="104">
        <f t="shared" si="2"/>
        <v>0</v>
      </c>
      <c r="AP15" s="139"/>
      <c r="BI15" s="104" t="s">
        <v>260</v>
      </c>
    </row>
    <row r="16" s="103" customFormat="1" hidden="1" customHeight="1" spans="1:62">
      <c r="A16" s="103">
        <v>12</v>
      </c>
      <c r="B16" s="125"/>
      <c r="C16" s="126">
        <v>45781</v>
      </c>
      <c r="D16" s="103">
        <v>20250002511</v>
      </c>
      <c r="E16" s="103"/>
      <c r="F16" s="1046" t="s">
        <v>6391</v>
      </c>
      <c r="G16" s="103" t="s">
        <v>6392</v>
      </c>
      <c r="H16" s="1046" t="s">
        <v>6393</v>
      </c>
      <c r="I16" s="125" t="s">
        <v>6394</v>
      </c>
      <c r="J16" s="128">
        <v>64.9</v>
      </c>
      <c r="K16" s="128">
        <v>64.9</v>
      </c>
      <c r="L16" s="103">
        <v>17731.86</v>
      </c>
      <c r="M16" s="103">
        <v>1150798</v>
      </c>
      <c r="N16" s="129">
        <v>17615.65</v>
      </c>
      <c r="O16" s="103"/>
      <c r="P16" s="103"/>
      <c r="Q16" s="103"/>
      <c r="R16" s="103"/>
      <c r="S16" s="103"/>
      <c r="T16" s="103"/>
      <c r="U16" s="103" t="s">
        <v>380</v>
      </c>
      <c r="V16" s="103">
        <f>560798+20000</f>
        <v>580798</v>
      </c>
      <c r="W16" s="103" t="s">
        <v>3368</v>
      </c>
      <c r="X16" s="103">
        <f>559202+20000</f>
        <v>579202</v>
      </c>
      <c r="Y16" s="103" t="s">
        <v>3368</v>
      </c>
      <c r="Z16" s="103">
        <v>-9202</v>
      </c>
      <c r="AA16" s="126">
        <v>45866</v>
      </c>
      <c r="AB16" s="103"/>
      <c r="AC16" s="103"/>
      <c r="AD16" s="103"/>
      <c r="AE16" s="103"/>
      <c r="AF16" s="103"/>
      <c r="AG16" s="103"/>
      <c r="AH16" s="130">
        <f t="shared" si="4"/>
        <v>1150798</v>
      </c>
      <c r="AI16" s="130"/>
      <c r="AJ16" s="130"/>
      <c r="AK16" s="130">
        <f>M16-AH16</f>
        <v>0</v>
      </c>
      <c r="AL16" s="103">
        <v>18139081564</v>
      </c>
      <c r="AM16" s="103" t="s">
        <v>574</v>
      </c>
      <c r="AN16" s="103"/>
      <c r="AO16" s="103">
        <f t="shared" si="2"/>
        <v>1150798</v>
      </c>
      <c r="AP16" s="140">
        <f>1%+0.18%+0.14%+0.03%</f>
        <v>0.0135</v>
      </c>
      <c r="AW16" s="103">
        <v>1150798</v>
      </c>
      <c r="BI16" s="103" t="s">
        <v>260</v>
      </c>
    </row>
    <row r="17" s="103" customFormat="1" hidden="1" customHeight="1" spans="1:61">
      <c r="A17" s="103">
        <v>13</v>
      </c>
      <c r="B17" s="125"/>
      <c r="C17" s="126">
        <v>45778</v>
      </c>
      <c r="D17" s="103">
        <v>20250002325</v>
      </c>
      <c r="E17" s="103"/>
      <c r="F17" s="1046" t="s">
        <v>6395</v>
      </c>
      <c r="G17" s="103" t="s">
        <v>6396</v>
      </c>
      <c r="H17" s="1046" t="s">
        <v>528</v>
      </c>
      <c r="I17" s="125" t="s">
        <v>6397</v>
      </c>
      <c r="J17" s="128">
        <v>64.9</v>
      </c>
      <c r="K17" s="103">
        <v>64.9</v>
      </c>
      <c r="L17" s="103">
        <v>17873.65</v>
      </c>
      <c r="M17" s="103">
        <v>1160000</v>
      </c>
      <c r="N17" s="129">
        <v>17710.35</v>
      </c>
      <c r="O17" s="103"/>
      <c r="P17" s="103"/>
      <c r="Q17" s="103"/>
      <c r="R17" s="103"/>
      <c r="S17" s="126"/>
      <c r="T17" s="103"/>
      <c r="U17" s="103" t="s">
        <v>370</v>
      </c>
      <c r="V17" s="103">
        <v>30000</v>
      </c>
      <c r="W17" s="103" t="s">
        <v>2841</v>
      </c>
      <c r="X17" s="103">
        <v>550000</v>
      </c>
      <c r="Y17" s="103" t="s">
        <v>4062</v>
      </c>
      <c r="Z17" s="103">
        <v>280000</v>
      </c>
      <c r="AA17" s="126">
        <v>46064</v>
      </c>
      <c r="AB17" s="103"/>
      <c r="AC17" s="103"/>
      <c r="AD17" s="103"/>
      <c r="AE17" s="103"/>
      <c r="AF17" s="103"/>
      <c r="AG17" s="103"/>
      <c r="AH17" s="130">
        <f t="shared" si="4"/>
        <v>860000</v>
      </c>
      <c r="AI17" s="130"/>
      <c r="AJ17" s="130"/>
      <c r="AK17" s="130">
        <f t="shared" ref="AK17:AK27" si="5">M17-AH17</f>
        <v>300000</v>
      </c>
      <c r="AL17" s="103">
        <v>13699334026</v>
      </c>
      <c r="AM17" s="103" t="s">
        <v>386</v>
      </c>
      <c r="AN17" s="103"/>
      <c r="AO17" s="103">
        <f t="shared" si="2"/>
        <v>580000</v>
      </c>
      <c r="AP17" s="131">
        <f>1%+0.18%+0.2%+0.03%</f>
        <v>0.0141</v>
      </c>
      <c r="AU17" s="103">
        <v>580000</v>
      </c>
      <c r="BI17" s="103" t="s">
        <v>260</v>
      </c>
    </row>
    <row r="18" s="103" customFormat="1" hidden="1" customHeight="1" spans="1:61">
      <c r="A18" s="103">
        <v>14</v>
      </c>
      <c r="B18" s="125"/>
      <c r="C18" s="126">
        <v>45671</v>
      </c>
      <c r="D18" s="103">
        <v>20250000255</v>
      </c>
      <c r="E18" s="103"/>
      <c r="F18" s="1046" t="s">
        <v>273</v>
      </c>
      <c r="G18" s="103" t="s">
        <v>274</v>
      </c>
      <c r="H18" s="103"/>
      <c r="I18" s="125" t="s">
        <v>6398</v>
      </c>
      <c r="J18" s="128">
        <v>64.9</v>
      </c>
      <c r="K18" s="103">
        <v>64.9</v>
      </c>
      <c r="L18" s="103">
        <v>17873.65</v>
      </c>
      <c r="M18" s="103">
        <v>1160000</v>
      </c>
      <c r="N18" s="129">
        <v>17805.06</v>
      </c>
      <c r="O18" s="103"/>
      <c r="P18" s="103"/>
      <c r="Q18" s="103"/>
      <c r="R18" s="103"/>
      <c r="S18" s="126"/>
      <c r="T18" s="103"/>
      <c r="U18" s="125" t="s">
        <v>277</v>
      </c>
      <c r="V18" s="103">
        <v>20000</v>
      </c>
      <c r="W18" s="103" t="s">
        <v>3614</v>
      </c>
      <c r="X18" s="103">
        <v>680000</v>
      </c>
      <c r="Y18" s="103" t="s">
        <v>3413</v>
      </c>
      <c r="Z18" s="103">
        <v>230000</v>
      </c>
      <c r="AA18" s="126">
        <v>45864</v>
      </c>
      <c r="AB18" s="103">
        <v>230000</v>
      </c>
      <c r="AC18" s="126">
        <v>45992</v>
      </c>
      <c r="AD18" s="103"/>
      <c r="AE18" s="103"/>
      <c r="AF18" s="103"/>
      <c r="AG18" s="103"/>
      <c r="AH18" s="130">
        <f t="shared" si="4"/>
        <v>1160000</v>
      </c>
      <c r="AI18" s="130"/>
      <c r="AJ18" s="130"/>
      <c r="AK18" s="130">
        <f t="shared" si="5"/>
        <v>0</v>
      </c>
      <c r="AL18" s="103">
        <v>13899099509</v>
      </c>
      <c r="AM18" s="103" t="s">
        <v>386</v>
      </c>
      <c r="AO18" s="103">
        <f t="shared" si="2"/>
        <v>1160000</v>
      </c>
      <c r="AP18" s="131">
        <f>1%+0.13%+0.2%+0.03%</f>
        <v>0.0136</v>
      </c>
      <c r="BB18" s="103">
        <v>1160000</v>
      </c>
      <c r="BI18" s="103" t="s">
        <v>260</v>
      </c>
    </row>
    <row r="19" s="103" customFormat="1" hidden="1" customHeight="1" spans="1:61">
      <c r="A19" s="103">
        <v>15</v>
      </c>
      <c r="B19" s="125"/>
      <c r="C19" s="126">
        <v>45656</v>
      </c>
      <c r="D19" s="103">
        <v>20240007524</v>
      </c>
      <c r="E19" s="103"/>
      <c r="F19" s="1046" t="s">
        <v>6399</v>
      </c>
      <c r="G19" s="127" t="s">
        <v>6400</v>
      </c>
      <c r="H19" s="103"/>
      <c r="I19" s="125" t="s">
        <v>6401</v>
      </c>
      <c r="J19" s="128">
        <v>90.35</v>
      </c>
      <c r="K19" s="103">
        <v>90.35</v>
      </c>
      <c r="L19" s="103">
        <v>17500</v>
      </c>
      <c r="M19" s="103">
        <v>1581125</v>
      </c>
      <c r="N19" s="129">
        <v>17332.8</v>
      </c>
      <c r="O19" s="103"/>
      <c r="P19" s="103"/>
      <c r="Q19" s="103"/>
      <c r="R19" s="103"/>
      <c r="S19" s="103"/>
      <c r="T19" s="103"/>
      <c r="U19" s="127" t="s">
        <v>561</v>
      </c>
      <c r="V19" s="103">
        <v>100000</v>
      </c>
      <c r="W19" s="103" t="s">
        <v>429</v>
      </c>
      <c r="X19" s="103">
        <v>701125</v>
      </c>
      <c r="Y19" s="103" t="s">
        <v>2126</v>
      </c>
      <c r="Z19" s="103">
        <v>780000</v>
      </c>
      <c r="AA19" s="103" t="s">
        <v>4933</v>
      </c>
      <c r="AB19" s="103"/>
      <c r="AC19" s="103"/>
      <c r="AD19" s="103"/>
      <c r="AE19" s="103"/>
      <c r="AF19" s="103"/>
      <c r="AG19" s="103"/>
      <c r="AH19" s="130">
        <f t="shared" si="4"/>
        <v>1581125</v>
      </c>
      <c r="AI19" s="130"/>
      <c r="AJ19" s="130"/>
      <c r="AK19" s="130">
        <f t="shared" si="5"/>
        <v>0</v>
      </c>
      <c r="AM19" s="103" t="s">
        <v>386</v>
      </c>
      <c r="AO19" s="103">
        <f t="shared" si="2"/>
        <v>1581125</v>
      </c>
      <c r="AP19" s="131">
        <f>1%+0.18%+0.25%+0.03%</f>
        <v>0.0146</v>
      </c>
      <c r="AQ19" s="103">
        <v>801125</v>
      </c>
      <c r="AT19" s="103">
        <v>780000</v>
      </c>
      <c r="BI19" s="103" t="s">
        <v>260</v>
      </c>
    </row>
    <row r="20" s="103" customFormat="1" hidden="1" customHeight="1" spans="1:61">
      <c r="A20" s="103">
        <v>16</v>
      </c>
      <c r="B20" s="125"/>
      <c r="C20" s="126">
        <v>46053</v>
      </c>
      <c r="D20" s="103">
        <v>20260000546</v>
      </c>
      <c r="E20" s="103"/>
      <c r="F20" s="1046" t="s">
        <v>6402</v>
      </c>
      <c r="G20" s="127" t="s">
        <v>6403</v>
      </c>
      <c r="H20" s="103"/>
      <c r="I20" s="125" t="s">
        <v>6404</v>
      </c>
      <c r="J20" s="128">
        <v>92.11</v>
      </c>
      <c r="K20" s="103">
        <v>92.11</v>
      </c>
      <c r="L20" s="103">
        <v>21713.17</v>
      </c>
      <c r="M20" s="103">
        <v>2000000</v>
      </c>
      <c r="N20" s="129">
        <v>21713.17</v>
      </c>
      <c r="O20" s="103"/>
      <c r="P20" s="103"/>
      <c r="Q20" s="103"/>
      <c r="R20" s="103"/>
      <c r="S20" s="126"/>
      <c r="T20" s="1046" t="s">
        <v>2088</v>
      </c>
      <c r="U20" s="127" t="s">
        <v>6405</v>
      </c>
      <c r="V20" s="103">
        <f>5000+20000</f>
        <v>25000</v>
      </c>
      <c r="W20" s="103" t="s">
        <v>3281</v>
      </c>
      <c r="X20" s="103">
        <v>75000</v>
      </c>
      <c r="Y20" s="103" t="s">
        <v>429</v>
      </c>
      <c r="Z20" s="103">
        <v>250000</v>
      </c>
      <c r="AA20" s="103" t="s">
        <v>2683</v>
      </c>
      <c r="AB20" s="103">
        <v>650000</v>
      </c>
      <c r="AC20" s="126">
        <v>46055</v>
      </c>
      <c r="AD20" s="103"/>
      <c r="AE20" s="103"/>
      <c r="AF20" s="103"/>
      <c r="AG20" s="103"/>
      <c r="AH20" s="130">
        <f t="shared" si="4"/>
        <v>1000000</v>
      </c>
      <c r="AI20" s="130"/>
      <c r="AJ20" s="130"/>
      <c r="AK20" s="130">
        <f t="shared" si="5"/>
        <v>1000000</v>
      </c>
      <c r="AL20" s="103">
        <v>15899047359</v>
      </c>
      <c r="AM20" s="103" t="s">
        <v>386</v>
      </c>
      <c r="AN20" s="103"/>
      <c r="AO20" s="103">
        <f t="shared" si="2"/>
        <v>1000000</v>
      </c>
      <c r="AP20" s="131">
        <f t="shared" ref="AP20:AP25" si="6">1%+0.18%+0.25%+0.03%</f>
        <v>0.0146</v>
      </c>
      <c r="BD20" s="103">
        <v>1000000</v>
      </c>
    </row>
    <row r="21" s="103" customFormat="1" hidden="1" customHeight="1" spans="1:61">
      <c r="A21" s="103">
        <v>17</v>
      </c>
      <c r="B21" s="125"/>
      <c r="C21" s="126">
        <v>45654</v>
      </c>
      <c r="D21" s="1046" t="s">
        <v>6406</v>
      </c>
      <c r="E21" s="103"/>
      <c r="F21" s="103"/>
      <c r="G21" s="127" t="s">
        <v>6407</v>
      </c>
      <c r="H21" s="103"/>
      <c r="I21" s="125" t="s">
        <v>6408</v>
      </c>
      <c r="J21" s="128">
        <v>65.45</v>
      </c>
      <c r="K21" s="103">
        <v>65.45</v>
      </c>
      <c r="L21" s="103">
        <v>25974.03</v>
      </c>
      <c r="M21" s="103">
        <v>1700000</v>
      </c>
      <c r="N21" s="129">
        <v>25974.03</v>
      </c>
      <c r="O21" s="103"/>
      <c r="P21" s="103"/>
      <c r="Q21" s="103"/>
      <c r="R21" s="103"/>
      <c r="S21" s="103"/>
      <c r="T21" s="1046" t="s">
        <v>4650</v>
      </c>
      <c r="U21" s="127" t="s">
        <v>284</v>
      </c>
      <c r="V21" s="103">
        <v>30000</v>
      </c>
      <c r="W21" s="103" t="s">
        <v>3281</v>
      </c>
      <c r="X21" s="103">
        <v>70000</v>
      </c>
      <c r="Y21" s="103" t="s">
        <v>429</v>
      </c>
      <c r="Z21" s="103">
        <v>750000</v>
      </c>
      <c r="AA21" s="103" t="s">
        <v>2683</v>
      </c>
      <c r="AB21" s="103">
        <v>850000</v>
      </c>
      <c r="AC21" s="103" t="s">
        <v>6409</v>
      </c>
      <c r="AD21" s="103"/>
      <c r="AE21" s="103"/>
      <c r="AF21" s="103"/>
      <c r="AG21" s="103"/>
      <c r="AH21" s="130">
        <f t="shared" si="4"/>
        <v>1700000</v>
      </c>
      <c r="AI21" s="130"/>
      <c r="AJ21" s="130"/>
      <c r="AK21" s="130">
        <f t="shared" si="5"/>
        <v>0</v>
      </c>
      <c r="AL21" s="103">
        <v>15899047359</v>
      </c>
      <c r="AM21" s="103" t="s">
        <v>386</v>
      </c>
      <c r="AN21" s="103"/>
      <c r="AO21" s="103">
        <f t="shared" si="2"/>
        <v>1700000</v>
      </c>
      <c r="AP21" s="131">
        <f t="shared" si="6"/>
        <v>0.0146</v>
      </c>
      <c r="AX21" s="103">
        <v>1700000</v>
      </c>
      <c r="BI21" s="103" t="s">
        <v>260</v>
      </c>
    </row>
    <row r="22" s="103" customFormat="1" hidden="1" customHeight="1" spans="1:61">
      <c r="A22" s="103">
        <v>18</v>
      </c>
      <c r="B22" s="125"/>
      <c r="C22" s="126">
        <v>45736</v>
      </c>
      <c r="D22" s="103">
        <v>20250001419</v>
      </c>
      <c r="E22" s="103"/>
      <c r="F22" s="1046" t="s">
        <v>6410</v>
      </c>
      <c r="G22" s="103" t="s">
        <v>6411</v>
      </c>
      <c r="H22" s="1046" t="s">
        <v>517</v>
      </c>
      <c r="I22" s="125" t="s">
        <v>6412</v>
      </c>
      <c r="J22" s="128">
        <v>108.27</v>
      </c>
      <c r="K22" s="103">
        <v>108.27</v>
      </c>
      <c r="L22" s="103">
        <v>8080</v>
      </c>
      <c r="M22" s="103">
        <v>874821</v>
      </c>
      <c r="N22" s="129">
        <v>8080</v>
      </c>
      <c r="O22" s="103"/>
      <c r="P22" s="103"/>
      <c r="Q22" s="103"/>
      <c r="R22" s="103"/>
      <c r="S22" s="103"/>
      <c r="T22" s="103"/>
      <c r="U22" s="103" t="s">
        <v>294</v>
      </c>
      <c r="V22" s="103">
        <v>20000</v>
      </c>
      <c r="W22" s="103" t="s">
        <v>794</v>
      </c>
      <c r="X22" s="103">
        <v>614821</v>
      </c>
      <c r="Y22" s="103" t="s">
        <v>2897</v>
      </c>
      <c r="Z22" s="103">
        <v>240000</v>
      </c>
      <c r="AA22" s="103" t="s">
        <v>4127</v>
      </c>
      <c r="AB22" s="103"/>
      <c r="AC22" s="103"/>
      <c r="AD22" s="103"/>
      <c r="AE22" s="103"/>
      <c r="AF22" s="103"/>
      <c r="AG22" s="103"/>
      <c r="AH22" s="130">
        <f t="shared" si="4"/>
        <v>874821</v>
      </c>
      <c r="AI22" s="130"/>
      <c r="AJ22" s="130"/>
      <c r="AK22" s="130">
        <f t="shared" si="5"/>
        <v>0</v>
      </c>
      <c r="AL22" s="103">
        <v>13709952700</v>
      </c>
      <c r="AM22" s="103" t="s">
        <v>574</v>
      </c>
      <c r="AN22" s="103"/>
      <c r="AO22" s="103">
        <f t="shared" si="2"/>
        <v>874821</v>
      </c>
      <c r="AP22" s="131">
        <f>1%+0.25%+0.03%</f>
        <v>0.0128</v>
      </c>
      <c r="AT22" s="103">
        <v>874821</v>
      </c>
      <c r="BI22" s="103" t="s">
        <v>260</v>
      </c>
    </row>
    <row r="23" hidden="1" customHeight="1" spans="1:61">
      <c r="A23" s="106">
        <v>19</v>
      </c>
      <c r="I23" s="101" t="s">
        <v>6413</v>
      </c>
      <c r="J23" s="135">
        <v>67.9</v>
      </c>
      <c r="N23" s="136">
        <v>8079.71</v>
      </c>
      <c r="AH23" s="108">
        <f t="shared" si="4"/>
        <v>0</v>
      </c>
      <c r="AK23" s="138">
        <f t="shared" si="5"/>
        <v>0</v>
      </c>
      <c r="AO23" s="103">
        <f t="shared" si="2"/>
        <v>0</v>
      </c>
      <c r="AP23" s="106"/>
    </row>
    <row r="24" hidden="1" customHeight="1" spans="1:61">
      <c r="A24" s="106">
        <v>20</v>
      </c>
      <c r="I24" s="101" t="s">
        <v>6414</v>
      </c>
      <c r="J24" s="135">
        <v>131.15</v>
      </c>
      <c r="N24" s="136">
        <v>7695</v>
      </c>
      <c r="AH24" s="108">
        <f t="shared" si="4"/>
        <v>0</v>
      </c>
      <c r="AK24" s="138">
        <f t="shared" si="5"/>
        <v>0</v>
      </c>
      <c r="AO24" s="103">
        <f t="shared" si="2"/>
        <v>0</v>
      </c>
      <c r="AP24" s="106"/>
    </row>
    <row r="25" s="103" customFormat="1" hidden="1" customHeight="1" spans="1:61">
      <c r="A25" s="103">
        <v>21</v>
      </c>
      <c r="B25" s="125"/>
      <c r="C25" s="126">
        <v>45779</v>
      </c>
      <c r="D25" s="103">
        <v>20250002362</v>
      </c>
      <c r="E25" s="103"/>
      <c r="F25" s="1046" t="s">
        <v>6415</v>
      </c>
      <c r="G25" s="103" t="s">
        <v>6416</v>
      </c>
      <c r="H25" s="1046" t="s">
        <v>316</v>
      </c>
      <c r="I25" s="125" t="s">
        <v>6417</v>
      </c>
      <c r="J25" s="128">
        <v>61.45</v>
      </c>
      <c r="K25" s="103">
        <v>61.45</v>
      </c>
      <c r="L25" s="103">
        <v>8136.69</v>
      </c>
      <c r="M25" s="103">
        <v>500000</v>
      </c>
      <c r="N25" s="129">
        <v>7925.81</v>
      </c>
      <c r="O25" s="103"/>
      <c r="P25" s="103"/>
      <c r="Q25" s="103"/>
      <c r="R25" s="103">
        <v>50000</v>
      </c>
      <c r="S25" s="126">
        <v>46083</v>
      </c>
      <c r="T25" s="103"/>
      <c r="U25" s="103" t="s">
        <v>370</v>
      </c>
      <c r="V25" s="103">
        <v>50000</v>
      </c>
      <c r="W25" s="103" t="s">
        <v>3669</v>
      </c>
      <c r="X25" s="103">
        <v>200000</v>
      </c>
      <c r="Y25" s="103" t="s">
        <v>3563</v>
      </c>
      <c r="Z25" s="103">
        <v>50000</v>
      </c>
      <c r="AA25" s="126">
        <v>46083</v>
      </c>
      <c r="AB25" s="103"/>
      <c r="AC25" s="103"/>
      <c r="AD25" s="103"/>
      <c r="AE25" s="103"/>
      <c r="AF25" s="103"/>
      <c r="AG25" s="103"/>
      <c r="AH25" s="130">
        <f t="shared" si="4"/>
        <v>300000</v>
      </c>
      <c r="AI25" s="130"/>
      <c r="AJ25" s="130"/>
      <c r="AK25" s="130">
        <f t="shared" si="5"/>
        <v>200000</v>
      </c>
      <c r="AL25" s="103">
        <v>18935743808</v>
      </c>
      <c r="AM25" s="103" t="s">
        <v>574</v>
      </c>
      <c r="AN25" s="103"/>
      <c r="AO25" s="103">
        <f t="shared" si="2"/>
        <v>250000</v>
      </c>
      <c r="AP25" s="131">
        <f t="shared" si="6"/>
        <v>0.0146</v>
      </c>
      <c r="AU25" s="103">
        <v>250000</v>
      </c>
      <c r="BI25" s="103" t="s">
        <v>260</v>
      </c>
    </row>
    <row r="26" hidden="1" customHeight="1" spans="1:61">
      <c r="A26" s="106">
        <v>22</v>
      </c>
      <c r="I26" s="101" t="s">
        <v>6418</v>
      </c>
      <c r="J26" s="135">
        <v>61.84</v>
      </c>
      <c r="N26" s="136">
        <v>7848.86</v>
      </c>
      <c r="AH26" s="108">
        <f t="shared" si="4"/>
        <v>0</v>
      </c>
      <c r="AK26" s="138">
        <f t="shared" si="5"/>
        <v>0</v>
      </c>
      <c r="AO26" s="103">
        <f t="shared" si="2"/>
        <v>0</v>
      </c>
      <c r="AP26" s="106"/>
    </row>
    <row r="27" s="103" customFormat="1" hidden="1" customHeight="1" spans="1:61">
      <c r="A27" s="103">
        <v>23</v>
      </c>
      <c r="B27" s="125"/>
      <c r="C27" s="126">
        <v>46038</v>
      </c>
      <c r="D27" s="103">
        <v>20260000257</v>
      </c>
      <c r="E27" s="103"/>
      <c r="F27" s="1046" t="s">
        <v>6419</v>
      </c>
      <c r="G27" s="103" t="s">
        <v>6420</v>
      </c>
      <c r="H27" s="106"/>
      <c r="I27" s="125" t="s">
        <v>6421</v>
      </c>
      <c r="J27" s="128">
        <v>64.99</v>
      </c>
      <c r="K27" s="103">
        <v>64.99</v>
      </c>
      <c r="L27" s="103">
        <v>7500</v>
      </c>
      <c r="M27" s="103">
        <v>487425</v>
      </c>
      <c r="N27" s="129">
        <v>7500</v>
      </c>
      <c r="O27" s="103"/>
      <c r="P27" s="103"/>
      <c r="Q27" s="103"/>
      <c r="R27" s="103"/>
      <c r="S27" s="126"/>
      <c r="T27" s="103"/>
      <c r="U27" s="103" t="s">
        <v>5948</v>
      </c>
      <c r="V27" s="103">
        <v>20000</v>
      </c>
      <c r="W27" s="126">
        <v>46003</v>
      </c>
      <c r="X27" s="103">
        <v>227425</v>
      </c>
      <c r="Y27" s="126">
        <v>46038</v>
      </c>
      <c r="Z27" s="103">
        <v>240000</v>
      </c>
      <c r="AA27" s="126">
        <v>46064</v>
      </c>
      <c r="AB27" s="103"/>
      <c r="AC27" s="103"/>
      <c r="AD27" s="103"/>
      <c r="AE27" s="103"/>
      <c r="AF27" s="103"/>
      <c r="AG27" s="103"/>
      <c r="AH27" s="130">
        <f t="shared" si="4"/>
        <v>487425</v>
      </c>
      <c r="AI27" s="130"/>
      <c r="AJ27" s="130"/>
      <c r="AK27" s="138">
        <f t="shared" si="5"/>
        <v>0</v>
      </c>
      <c r="AL27" s="103">
        <v>18699671818</v>
      </c>
      <c r="AM27" s="103"/>
      <c r="AN27" s="103"/>
      <c r="AO27" s="103">
        <f t="shared" si="2"/>
        <v>487425</v>
      </c>
      <c r="AP27" s="141">
        <f>1%+0.13%+0.14%+0.03%</f>
        <v>0.013</v>
      </c>
      <c r="BC27" s="103">
        <v>247425</v>
      </c>
      <c r="BD27" s="103">
        <v>240000</v>
      </c>
    </row>
    <row r="28" hidden="1" customHeight="1" spans="1:61">
      <c r="A28" s="106">
        <v>24</v>
      </c>
      <c r="I28" s="101" t="s">
        <v>6422</v>
      </c>
      <c r="J28" s="135">
        <v>75.9</v>
      </c>
      <c r="N28" s="136">
        <v>7695.3</v>
      </c>
      <c r="AH28" s="108">
        <f t="shared" si="4"/>
        <v>0</v>
      </c>
      <c r="AO28" s="103">
        <f t="shared" si="2"/>
        <v>0</v>
      </c>
      <c r="AP28" s="106"/>
    </row>
    <row r="29" hidden="1" customHeight="1" spans="1:61">
      <c r="A29" s="106">
        <v>25</v>
      </c>
      <c r="I29" s="101" t="s">
        <v>6423</v>
      </c>
      <c r="J29" s="135">
        <v>77.46</v>
      </c>
      <c r="N29" s="136">
        <v>7618.39</v>
      </c>
      <c r="AH29" s="108">
        <f t="shared" si="4"/>
        <v>0</v>
      </c>
      <c r="AO29" s="103">
        <f t="shared" si="2"/>
        <v>0</v>
      </c>
      <c r="AP29" s="106"/>
    </row>
    <row r="30" hidden="1" customHeight="1" spans="1:61">
      <c r="A30" s="106">
        <v>26</v>
      </c>
      <c r="I30" s="101" t="s">
        <v>6424</v>
      </c>
      <c r="J30" s="135">
        <v>64.78</v>
      </c>
      <c r="N30" s="136">
        <v>7541.06</v>
      </c>
      <c r="AH30" s="108">
        <f t="shared" si="4"/>
        <v>0</v>
      </c>
      <c r="AO30" s="103">
        <f t="shared" si="2"/>
        <v>0</v>
      </c>
      <c r="AP30" s="106"/>
    </row>
    <row r="31" hidden="1" customHeight="1" spans="1:61">
      <c r="A31" s="106">
        <v>27</v>
      </c>
      <c r="I31" s="101" t="s">
        <v>6425</v>
      </c>
      <c r="J31" s="135">
        <v>64.78</v>
      </c>
      <c r="N31" s="136">
        <v>7541.06</v>
      </c>
      <c r="AH31" s="108">
        <f t="shared" si="4"/>
        <v>0</v>
      </c>
      <c r="AO31" s="103">
        <f t="shared" si="2"/>
        <v>0</v>
      </c>
      <c r="AP31" s="106"/>
    </row>
    <row r="32" hidden="1" customHeight="1" spans="1:61">
      <c r="A32" s="106">
        <v>28</v>
      </c>
      <c r="I32" s="101" t="s">
        <v>6426</v>
      </c>
      <c r="J32" s="135">
        <v>80.63</v>
      </c>
      <c r="N32" s="136">
        <v>7310.09</v>
      </c>
      <c r="AH32" s="108">
        <f t="shared" si="4"/>
        <v>0</v>
      </c>
      <c r="AO32" s="103">
        <f t="shared" si="2"/>
        <v>0</v>
      </c>
      <c r="AP32" s="106"/>
    </row>
    <row r="33" hidden="1" customHeight="1" spans="1:61">
      <c r="A33" s="106">
        <v>29</v>
      </c>
      <c r="I33" s="101" t="s">
        <v>6427</v>
      </c>
      <c r="J33" s="135">
        <v>212.72</v>
      </c>
      <c r="N33" s="136">
        <v>7000</v>
      </c>
      <c r="AH33" s="108">
        <f t="shared" si="4"/>
        <v>0</v>
      </c>
      <c r="AO33" s="103">
        <f t="shared" si="2"/>
        <v>0</v>
      </c>
      <c r="AP33" s="106"/>
    </row>
    <row r="34" s="103" customFormat="1" hidden="1" customHeight="1" spans="1:61">
      <c r="A34" s="103">
        <v>30</v>
      </c>
      <c r="B34" s="125"/>
      <c r="C34" s="126">
        <v>45778</v>
      </c>
      <c r="D34" s="103">
        <v>20250002340</v>
      </c>
      <c r="E34" s="103"/>
      <c r="F34" s="1046" t="s">
        <v>6428</v>
      </c>
      <c r="G34" s="103" t="s">
        <v>6429</v>
      </c>
      <c r="H34" s="103"/>
      <c r="I34" s="125" t="s">
        <v>6430</v>
      </c>
      <c r="J34" s="128">
        <v>81.6</v>
      </c>
      <c r="K34" s="103">
        <v>81.6</v>
      </c>
      <c r="L34" s="103">
        <v>8000</v>
      </c>
      <c r="M34" s="103">
        <v>652800</v>
      </c>
      <c r="N34" s="129">
        <v>7695.38</v>
      </c>
      <c r="O34" s="103"/>
      <c r="P34" s="103"/>
      <c r="Q34" s="103"/>
      <c r="R34" s="103"/>
      <c r="S34" s="103"/>
      <c r="T34" s="103"/>
      <c r="U34" s="103" t="s">
        <v>257</v>
      </c>
      <c r="V34" s="103">
        <v>20000</v>
      </c>
      <c r="W34" s="103" t="s">
        <v>1091</v>
      </c>
      <c r="X34" s="103">
        <f>520000+66400</f>
        <v>586400</v>
      </c>
      <c r="Y34" s="103" t="s">
        <v>885</v>
      </c>
      <c r="Z34" s="103">
        <v>46400</v>
      </c>
      <c r="AA34" s="103" t="s">
        <v>1195</v>
      </c>
      <c r="AB34" s="103"/>
      <c r="AC34" s="103"/>
      <c r="AD34" s="103"/>
      <c r="AE34" s="103"/>
      <c r="AF34" s="103"/>
      <c r="AG34" s="103"/>
      <c r="AH34" s="130">
        <f t="shared" si="4"/>
        <v>652800</v>
      </c>
      <c r="AI34" s="130"/>
      <c r="AJ34" s="130"/>
      <c r="AK34" s="130">
        <f>M34-AH34</f>
        <v>0</v>
      </c>
      <c r="AL34" s="103">
        <v>13999608655</v>
      </c>
      <c r="AM34" s="103" t="s">
        <v>574</v>
      </c>
      <c r="AN34" s="103"/>
      <c r="AO34" s="103">
        <f t="shared" si="2"/>
        <v>652800</v>
      </c>
      <c r="AP34" s="131">
        <f>1%+0.18%+0.25%+0.03%</f>
        <v>0.0146</v>
      </c>
      <c r="AU34" s="103">
        <v>652800</v>
      </c>
      <c r="BI34" s="103" t="s">
        <v>260</v>
      </c>
    </row>
    <row r="35" hidden="1" customHeight="1" spans="1:61">
      <c r="A35" s="106">
        <v>31</v>
      </c>
      <c r="I35" s="101" t="s">
        <v>6431</v>
      </c>
      <c r="J35" s="135">
        <v>81.6</v>
      </c>
      <c r="N35" s="136">
        <v>7772.33</v>
      </c>
      <c r="AH35" s="108">
        <f t="shared" si="4"/>
        <v>0</v>
      </c>
      <c r="AO35" s="103">
        <f t="shared" si="2"/>
        <v>0</v>
      </c>
      <c r="AP35" s="106"/>
    </row>
    <row r="36" hidden="1" customHeight="1" spans="1:61">
      <c r="A36" s="106">
        <v>32</v>
      </c>
      <c r="I36" s="101" t="s">
        <v>6432</v>
      </c>
      <c r="J36" s="135">
        <v>81.6</v>
      </c>
      <c r="N36" s="136">
        <v>7849.28</v>
      </c>
      <c r="AH36" s="108">
        <f t="shared" si="4"/>
        <v>0</v>
      </c>
      <c r="AO36" s="103">
        <f t="shared" si="2"/>
        <v>0</v>
      </c>
      <c r="AP36" s="106"/>
    </row>
    <row r="37" hidden="1" customHeight="1" spans="1:61">
      <c r="A37" s="106">
        <v>33</v>
      </c>
      <c r="I37" s="101" t="s">
        <v>6433</v>
      </c>
      <c r="J37" s="135">
        <v>113.6</v>
      </c>
      <c r="N37" s="136">
        <v>7926.06</v>
      </c>
      <c r="AH37" s="108">
        <f t="shared" ref="AH37:AH64" si="7">V37+X37+Z37+AB37+AD37+AF37</f>
        <v>0</v>
      </c>
      <c r="AO37" s="103">
        <f t="shared" ref="AO37:AO63" si="8">SUM(AQ37:BF37)</f>
        <v>0</v>
      </c>
      <c r="AP37" s="106"/>
    </row>
    <row r="38" s="103" customFormat="1" hidden="1" customHeight="1" spans="1:61">
      <c r="A38" s="103">
        <v>34</v>
      </c>
      <c r="B38" s="125"/>
      <c r="C38" s="126">
        <v>45655</v>
      </c>
      <c r="D38" s="103">
        <v>20240007509</v>
      </c>
      <c r="E38" s="103"/>
      <c r="F38" s="103"/>
      <c r="G38" s="103" t="s">
        <v>5024</v>
      </c>
      <c r="H38" s="103"/>
      <c r="I38" s="125" t="s">
        <v>6434</v>
      </c>
      <c r="J38" s="128">
        <v>115.82</v>
      </c>
      <c r="K38" s="103">
        <v>115.82</v>
      </c>
      <c r="L38" s="103">
        <v>7900</v>
      </c>
      <c r="M38" s="103">
        <v>914978</v>
      </c>
      <c r="N38" s="129">
        <v>7764.33</v>
      </c>
      <c r="O38" s="103"/>
      <c r="P38" s="103"/>
      <c r="Q38" s="103"/>
      <c r="R38" s="103"/>
      <c r="S38" s="103"/>
      <c r="T38" s="103"/>
      <c r="U38" s="103" t="s">
        <v>561</v>
      </c>
      <c r="V38" s="103">
        <v>100000</v>
      </c>
      <c r="W38" s="103" t="s">
        <v>429</v>
      </c>
      <c r="X38" s="103">
        <v>364978</v>
      </c>
      <c r="Y38" s="103" t="s">
        <v>3405</v>
      </c>
      <c r="Z38" s="103">
        <v>140000</v>
      </c>
      <c r="AA38" s="103" t="s">
        <v>6435</v>
      </c>
      <c r="AB38" s="103">
        <v>310000</v>
      </c>
      <c r="AC38" s="103" t="s">
        <v>3514</v>
      </c>
      <c r="AD38" s="103"/>
      <c r="AE38" s="103"/>
      <c r="AF38" s="103"/>
      <c r="AG38" s="103"/>
      <c r="AH38" s="130">
        <f t="shared" si="7"/>
        <v>914978</v>
      </c>
      <c r="AI38" s="130"/>
      <c r="AJ38" s="130"/>
      <c r="AK38" s="130">
        <f>M38-AH38</f>
        <v>0</v>
      </c>
      <c r="AM38" s="103" t="s">
        <v>386</v>
      </c>
      <c r="AO38" s="103">
        <f t="shared" si="8"/>
        <v>914978</v>
      </c>
      <c r="AP38" s="131">
        <f>1%+0.18%+0.25%+0.03%</f>
        <v>0.0146</v>
      </c>
      <c r="AT38" s="103">
        <v>914978</v>
      </c>
      <c r="BI38" s="103" t="s">
        <v>260</v>
      </c>
    </row>
    <row r="39" s="103" customFormat="1" hidden="1" customHeight="1" spans="1:61">
      <c r="A39" s="103">
        <v>35</v>
      </c>
      <c r="B39" s="125"/>
      <c r="C39" s="126">
        <v>45655</v>
      </c>
      <c r="D39" s="103">
        <v>20240007511</v>
      </c>
      <c r="E39" s="103"/>
      <c r="F39" s="103" t="s">
        <v>6436</v>
      </c>
      <c r="G39" s="103" t="s">
        <v>6437</v>
      </c>
      <c r="H39" s="103" t="s">
        <v>6438</v>
      </c>
      <c r="I39" s="125" t="s">
        <v>6439</v>
      </c>
      <c r="J39" s="128">
        <v>82.3</v>
      </c>
      <c r="K39" s="103">
        <v>82.3</v>
      </c>
      <c r="L39" s="103">
        <v>8500</v>
      </c>
      <c r="M39" s="103">
        <v>699550</v>
      </c>
      <c r="N39" s="129">
        <v>8333.91</v>
      </c>
      <c r="O39" s="103"/>
      <c r="P39" s="103"/>
      <c r="Q39" s="103"/>
      <c r="R39" s="103"/>
      <c r="S39" s="103"/>
      <c r="T39" s="103"/>
      <c r="U39" s="103" t="s">
        <v>267</v>
      </c>
      <c r="V39" s="103">
        <v>50000</v>
      </c>
      <c r="W39" s="103" t="s">
        <v>429</v>
      </c>
      <c r="X39" s="103">
        <v>200000</v>
      </c>
      <c r="Y39" s="103" t="s">
        <v>3405</v>
      </c>
      <c r="Z39" s="103">
        <v>149550</v>
      </c>
      <c r="AA39" s="103" t="s">
        <v>6440</v>
      </c>
      <c r="AB39" s="103">
        <f>200000+50000+50000</f>
        <v>300000</v>
      </c>
      <c r="AC39" s="103" t="s">
        <v>3514</v>
      </c>
      <c r="AD39" s="103"/>
      <c r="AE39" s="103"/>
      <c r="AF39" s="103"/>
      <c r="AG39" s="103"/>
      <c r="AH39" s="130">
        <f t="shared" si="7"/>
        <v>699550</v>
      </c>
      <c r="AI39" s="130"/>
      <c r="AJ39" s="130"/>
      <c r="AK39" s="130">
        <f t="shared" ref="AK39:AK63" si="9">M39-AH39</f>
        <v>0</v>
      </c>
      <c r="AL39" s="103">
        <v>13779690127</v>
      </c>
      <c r="AM39" s="103" t="s">
        <v>386</v>
      </c>
      <c r="AO39" s="103">
        <f t="shared" si="8"/>
        <v>699550</v>
      </c>
      <c r="AP39" s="131">
        <f t="shared" ref="AP39:AP54" si="10">1%+0.25%+0.03%</f>
        <v>0.0128</v>
      </c>
      <c r="AT39" s="103">
        <v>699550</v>
      </c>
      <c r="BI39" s="103" t="s">
        <v>260</v>
      </c>
    </row>
    <row r="40" hidden="1" customHeight="1" spans="1:61">
      <c r="G40" s="106" t="s">
        <v>6441</v>
      </c>
      <c r="H40" s="106" t="s">
        <v>6441</v>
      </c>
      <c r="I40" s="101" t="s">
        <v>6442</v>
      </c>
      <c r="J40" s="135">
        <v>1005.66</v>
      </c>
      <c r="AH40" s="108">
        <f t="shared" si="7"/>
        <v>0</v>
      </c>
      <c r="AO40" s="103">
        <f t="shared" si="8"/>
        <v>0</v>
      </c>
      <c r="AP40" s="106"/>
    </row>
    <row r="41" s="103" customFormat="1" hidden="1" customHeight="1" spans="1:61">
      <c r="A41" s="103">
        <v>36</v>
      </c>
      <c r="B41" s="125"/>
      <c r="C41" s="103"/>
      <c r="D41" s="103"/>
      <c r="E41" s="103"/>
      <c r="F41" s="103"/>
      <c r="G41" s="142" t="s">
        <v>6443</v>
      </c>
      <c r="H41" s="103"/>
      <c r="I41" s="125" t="s">
        <v>6444</v>
      </c>
      <c r="J41" s="143">
        <v>45.74</v>
      </c>
      <c r="K41" s="143">
        <v>45.74</v>
      </c>
      <c r="L41" s="103">
        <v>33000</v>
      </c>
      <c r="M41" s="130">
        <v>1509420</v>
      </c>
      <c r="N41" s="144">
        <v>33000</v>
      </c>
      <c r="O41" s="103"/>
      <c r="P41" s="103"/>
      <c r="Q41" s="103"/>
      <c r="R41" s="103"/>
      <c r="S41" s="103"/>
      <c r="T41" s="103"/>
      <c r="U41" s="103" t="s">
        <v>722</v>
      </c>
      <c r="V41" s="145">
        <f>100000-100000</f>
        <v>0</v>
      </c>
      <c r="W41" s="146" t="s">
        <v>6445</v>
      </c>
      <c r="X41" s="145">
        <f>100000+2450000-200000-200000-200000-200000-200000-200000-200000-200000-200000-200000-200000-200000-150000</f>
        <v>0</v>
      </c>
      <c r="Y41" s="146" t="s">
        <v>765</v>
      </c>
      <c r="Z41" s="145">
        <f>550000-200000-200000</f>
        <v>150000</v>
      </c>
      <c r="AA41" s="146" t="s">
        <v>4510</v>
      </c>
      <c r="AB41" s="103"/>
      <c r="AC41" s="103"/>
      <c r="AD41" s="103"/>
      <c r="AE41" s="103"/>
      <c r="AF41" s="103"/>
      <c r="AG41" s="103"/>
      <c r="AH41" s="130">
        <f t="shared" si="7"/>
        <v>150000</v>
      </c>
      <c r="AI41" s="130"/>
      <c r="AJ41" s="130"/>
      <c r="AK41" s="130">
        <f t="shared" si="9"/>
        <v>1359420</v>
      </c>
      <c r="AL41" s="103">
        <v>13579031111</v>
      </c>
      <c r="AO41" s="103">
        <f t="shared" si="8"/>
        <v>0</v>
      </c>
      <c r="AP41" s="131">
        <f t="shared" si="10"/>
        <v>0.0128</v>
      </c>
    </row>
    <row r="42" s="103" customFormat="1" hidden="1" customHeight="1" spans="1:61">
      <c r="A42" s="103">
        <v>37</v>
      </c>
      <c r="B42" s="125"/>
      <c r="C42" s="103"/>
      <c r="D42" s="103"/>
      <c r="E42" s="103"/>
      <c r="F42" s="1046" t="s">
        <v>6446</v>
      </c>
      <c r="G42" s="103" t="s">
        <v>6447</v>
      </c>
      <c r="H42" s="103"/>
      <c r="I42" s="125" t="s">
        <v>6448</v>
      </c>
      <c r="J42" s="143">
        <v>46.87</v>
      </c>
      <c r="K42" s="143">
        <v>46.87</v>
      </c>
      <c r="L42" s="103">
        <v>26286.42</v>
      </c>
      <c r="M42" s="130">
        <v>1232045</v>
      </c>
      <c r="N42" s="144">
        <v>26286.42</v>
      </c>
      <c r="O42" s="103"/>
      <c r="P42" s="103"/>
      <c r="Q42" s="103"/>
      <c r="R42" s="103"/>
      <c r="S42" s="103"/>
      <c r="T42" s="103"/>
      <c r="U42" s="103" t="s">
        <v>722</v>
      </c>
      <c r="V42" s="103">
        <v>200000</v>
      </c>
      <c r="W42" s="103" t="s">
        <v>765</v>
      </c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30">
        <f t="shared" si="7"/>
        <v>200000</v>
      </c>
      <c r="AI42" s="130"/>
      <c r="AJ42" s="130"/>
      <c r="AK42" s="130">
        <f t="shared" si="9"/>
        <v>1032045</v>
      </c>
      <c r="AL42" s="103">
        <v>13579031111</v>
      </c>
      <c r="AO42" s="103">
        <f t="shared" si="8"/>
        <v>0</v>
      </c>
      <c r="AP42" s="131">
        <f t="shared" si="10"/>
        <v>0.0128</v>
      </c>
    </row>
    <row r="43" s="103" customFormat="1" hidden="1" customHeight="1" spans="1:61">
      <c r="A43" s="103">
        <v>38</v>
      </c>
      <c r="B43" s="125"/>
      <c r="C43" s="103"/>
      <c r="D43" s="103"/>
      <c r="E43" s="103"/>
      <c r="F43" s="1046" t="s">
        <v>6446</v>
      </c>
      <c r="G43" s="103" t="s">
        <v>6447</v>
      </c>
      <c r="H43" s="103"/>
      <c r="I43" s="125" t="s">
        <v>6449</v>
      </c>
      <c r="J43" s="143">
        <v>45.23</v>
      </c>
      <c r="K43" s="143">
        <v>45.23</v>
      </c>
      <c r="L43" s="103">
        <v>25512.55</v>
      </c>
      <c r="M43" s="130">
        <v>1153933</v>
      </c>
      <c r="N43" s="144">
        <v>25512.55</v>
      </c>
      <c r="O43" s="103"/>
      <c r="P43" s="103"/>
      <c r="Q43" s="103"/>
      <c r="R43" s="103">
        <v>690315</v>
      </c>
      <c r="S43" s="126">
        <v>46104</v>
      </c>
      <c r="T43" s="103"/>
      <c r="U43" s="103" t="s">
        <v>722</v>
      </c>
      <c r="V43" s="103">
        <v>200000</v>
      </c>
      <c r="W43" s="103" t="s">
        <v>765</v>
      </c>
      <c r="X43" s="103">
        <v>690315</v>
      </c>
      <c r="Y43" s="126">
        <v>46104</v>
      </c>
      <c r="Z43" s="103"/>
      <c r="AA43" s="103"/>
      <c r="AB43" s="103"/>
      <c r="AC43" s="103"/>
      <c r="AD43" s="103"/>
      <c r="AE43" s="103"/>
      <c r="AF43" s="103"/>
      <c r="AG43" s="103"/>
      <c r="AH43" s="130">
        <f t="shared" si="7"/>
        <v>890315</v>
      </c>
      <c r="AI43" s="130"/>
      <c r="AJ43" s="130"/>
      <c r="AK43" s="130">
        <f t="shared" si="9"/>
        <v>263618</v>
      </c>
      <c r="AL43" s="103">
        <v>13579031111</v>
      </c>
      <c r="AO43" s="103">
        <f t="shared" si="8"/>
        <v>0</v>
      </c>
      <c r="AP43" s="131">
        <f t="shared" si="10"/>
        <v>0.0128</v>
      </c>
    </row>
    <row r="44" s="103" customFormat="1" hidden="1" customHeight="1" spans="1:61">
      <c r="A44" s="103">
        <v>39</v>
      </c>
      <c r="B44" s="125"/>
      <c r="C44" s="126">
        <v>46111</v>
      </c>
      <c r="D44" s="103">
        <v>20260001440</v>
      </c>
      <c r="E44" s="103"/>
      <c r="F44" s="1046" t="s">
        <v>6446</v>
      </c>
      <c r="G44" s="103" t="s">
        <v>6447</v>
      </c>
      <c r="H44" s="103"/>
      <c r="I44" s="125" t="s">
        <v>6450</v>
      </c>
      <c r="J44" s="143">
        <v>45.23</v>
      </c>
      <c r="K44" s="143">
        <v>45.23</v>
      </c>
      <c r="L44" s="103">
        <v>24738.74</v>
      </c>
      <c r="M44" s="130">
        <v>1118934</v>
      </c>
      <c r="N44" s="144">
        <v>24738.74</v>
      </c>
      <c r="O44" s="103"/>
      <c r="P44" s="103"/>
      <c r="Q44" s="103"/>
      <c r="R44" s="103">
        <v>309685</v>
      </c>
      <c r="S44" s="126">
        <v>46104</v>
      </c>
      <c r="T44" s="103"/>
      <c r="U44" s="103" t="s">
        <v>722</v>
      </c>
      <c r="V44" s="103">
        <v>200000</v>
      </c>
      <c r="W44" s="103" t="s">
        <v>765</v>
      </c>
      <c r="X44" s="103">
        <v>109249</v>
      </c>
      <c r="Y44" s="126">
        <v>45961</v>
      </c>
      <c r="Z44" s="103">
        <v>500000</v>
      </c>
      <c r="AA44" s="126">
        <v>46058</v>
      </c>
      <c r="AB44" s="103">
        <v>309685</v>
      </c>
      <c r="AC44" s="126">
        <v>46104</v>
      </c>
      <c r="AD44" s="103"/>
      <c r="AE44" s="103"/>
      <c r="AF44" s="103"/>
      <c r="AG44" s="103"/>
      <c r="AH44" s="130">
        <f t="shared" si="7"/>
        <v>1118934</v>
      </c>
      <c r="AI44" s="130"/>
      <c r="AJ44" s="130"/>
      <c r="AK44" s="130">
        <f t="shared" si="9"/>
        <v>0</v>
      </c>
      <c r="AL44" s="103">
        <v>13579031111</v>
      </c>
      <c r="AO44" s="103">
        <f t="shared" si="8"/>
        <v>1118934</v>
      </c>
      <c r="AP44" s="131">
        <f t="shared" si="10"/>
        <v>0.0128</v>
      </c>
      <c r="BE44" s="103">
        <v>1118934</v>
      </c>
    </row>
    <row r="45" s="103" customFormat="1" hidden="1" customHeight="1" spans="1:61">
      <c r="A45" s="103">
        <v>40</v>
      </c>
      <c r="B45" s="125"/>
      <c r="C45" s="126">
        <v>45932</v>
      </c>
      <c r="D45" s="103">
        <v>20250004964</v>
      </c>
      <c r="E45" s="103"/>
      <c r="F45" s="1046" t="s">
        <v>6446</v>
      </c>
      <c r="G45" s="103" t="s">
        <v>6447</v>
      </c>
      <c r="H45" s="103"/>
      <c r="I45" s="125" t="s">
        <v>6451</v>
      </c>
      <c r="J45" s="143">
        <v>82.99</v>
      </c>
      <c r="K45" s="143">
        <v>82.99</v>
      </c>
      <c r="L45" s="103">
        <v>24351.83</v>
      </c>
      <c r="M45" s="130">
        <v>2020959</v>
      </c>
      <c r="N45" s="144">
        <v>24351.83</v>
      </c>
      <c r="O45" s="103"/>
      <c r="P45" s="103"/>
      <c r="Q45" s="103"/>
      <c r="R45" s="103"/>
      <c r="S45" s="126"/>
      <c r="T45" s="103"/>
      <c r="U45" s="103" t="s">
        <v>722</v>
      </c>
      <c r="V45" s="103">
        <v>200000</v>
      </c>
      <c r="W45" s="103" t="s">
        <v>765</v>
      </c>
      <c r="X45" s="103">
        <f>739692+1081267</f>
        <v>1820959</v>
      </c>
      <c r="Y45" s="126" t="s">
        <v>6452</v>
      </c>
      <c r="Z45" s="103"/>
      <c r="AA45" s="103"/>
      <c r="AB45" s="103"/>
      <c r="AC45" s="103"/>
      <c r="AD45" s="103"/>
      <c r="AE45" s="103"/>
      <c r="AF45" s="103"/>
      <c r="AG45" s="103"/>
      <c r="AH45" s="130">
        <f t="shared" si="7"/>
        <v>2020959</v>
      </c>
      <c r="AI45" s="130"/>
      <c r="AJ45" s="130"/>
      <c r="AK45" s="130">
        <f t="shared" si="9"/>
        <v>0</v>
      </c>
      <c r="AL45" s="103">
        <v>13579031111</v>
      </c>
      <c r="AO45" s="103">
        <f t="shared" si="8"/>
        <v>2020959</v>
      </c>
      <c r="AP45" s="131">
        <f t="shared" si="10"/>
        <v>0.0128</v>
      </c>
      <c r="AZ45" s="103">
        <v>2020959</v>
      </c>
      <c r="BI45" s="103" t="s">
        <v>3258</v>
      </c>
    </row>
    <row r="46" s="103" customFormat="1" hidden="1" customHeight="1" spans="1:61">
      <c r="A46" s="103">
        <v>41</v>
      </c>
      <c r="B46" s="125"/>
      <c r="C46" s="126">
        <v>45961</v>
      </c>
      <c r="D46" s="103">
        <v>20250005595</v>
      </c>
      <c r="E46" s="103"/>
      <c r="F46" s="1046" t="s">
        <v>6446</v>
      </c>
      <c r="G46" s="103" t="s">
        <v>6447</v>
      </c>
      <c r="H46" s="103"/>
      <c r="I46" s="125" t="s">
        <v>6453</v>
      </c>
      <c r="J46" s="143">
        <v>45.15</v>
      </c>
      <c r="K46" s="143">
        <v>45.15</v>
      </c>
      <c r="L46" s="103">
        <v>24158.38</v>
      </c>
      <c r="M46" s="130">
        <v>1090751</v>
      </c>
      <c r="N46" s="144">
        <v>24158.38</v>
      </c>
      <c r="O46" s="103"/>
      <c r="P46" s="103"/>
      <c r="Q46" s="103"/>
      <c r="R46" s="103"/>
      <c r="S46" s="126"/>
      <c r="T46" s="103"/>
      <c r="U46" s="103" t="s">
        <v>722</v>
      </c>
      <c r="V46" s="103">
        <v>200000</v>
      </c>
      <c r="W46" s="103" t="s">
        <v>765</v>
      </c>
      <c r="X46" s="103">
        <v>890751</v>
      </c>
      <c r="Y46" s="126">
        <v>45961</v>
      </c>
      <c r="Z46" s="103"/>
      <c r="AA46" s="103"/>
      <c r="AB46" s="103"/>
      <c r="AC46" s="103"/>
      <c r="AD46" s="103"/>
      <c r="AE46" s="103"/>
      <c r="AF46" s="103"/>
      <c r="AG46" s="103"/>
      <c r="AH46" s="130">
        <f t="shared" si="7"/>
        <v>1090751</v>
      </c>
      <c r="AI46" s="130"/>
      <c r="AJ46" s="130"/>
      <c r="AK46" s="130">
        <f t="shared" si="9"/>
        <v>0</v>
      </c>
      <c r="AL46" s="103">
        <v>13579031111</v>
      </c>
      <c r="AO46" s="103">
        <f t="shared" si="8"/>
        <v>1090751</v>
      </c>
      <c r="AP46" s="131">
        <f t="shared" si="10"/>
        <v>0.0128</v>
      </c>
      <c r="AZ46" s="103">
        <v>1090751</v>
      </c>
      <c r="BI46" s="103" t="s">
        <v>3258</v>
      </c>
    </row>
    <row r="47" s="103" customFormat="1" hidden="1" customHeight="1" spans="1:61">
      <c r="A47" s="103">
        <v>42</v>
      </c>
      <c r="B47" s="125"/>
      <c r="C47" s="126">
        <v>45917</v>
      </c>
      <c r="D47" s="103">
        <v>20250004687</v>
      </c>
      <c r="E47" s="103"/>
      <c r="F47" s="1046" t="s">
        <v>6446</v>
      </c>
      <c r="G47" s="103" t="s">
        <v>6447</v>
      </c>
      <c r="H47" s="103"/>
      <c r="I47" s="125" t="s">
        <v>6454</v>
      </c>
      <c r="J47" s="143">
        <v>45.23</v>
      </c>
      <c r="K47" s="143">
        <v>45.23</v>
      </c>
      <c r="L47" s="103">
        <v>23964.93</v>
      </c>
      <c r="M47" s="130">
        <v>1083934</v>
      </c>
      <c r="N47" s="144">
        <v>23964.93</v>
      </c>
      <c r="O47" s="103"/>
      <c r="P47" s="103"/>
      <c r="Q47" s="103"/>
      <c r="R47" s="103"/>
      <c r="S47" s="126"/>
      <c r="T47" s="103"/>
      <c r="U47" s="103" t="s">
        <v>722</v>
      </c>
      <c r="V47" s="103">
        <v>200000</v>
      </c>
      <c r="W47" s="103" t="s">
        <v>765</v>
      </c>
      <c r="X47" s="103">
        <f>478626+145000</f>
        <v>623626</v>
      </c>
      <c r="Y47" s="126" t="s">
        <v>6455</v>
      </c>
      <c r="Z47" s="103">
        <v>260308</v>
      </c>
      <c r="AA47" s="126">
        <v>45906</v>
      </c>
      <c r="AB47" s="103"/>
      <c r="AC47" s="103"/>
      <c r="AD47" s="103"/>
      <c r="AE47" s="103"/>
      <c r="AF47" s="103"/>
      <c r="AG47" s="103"/>
      <c r="AH47" s="130">
        <f t="shared" si="7"/>
        <v>1083934</v>
      </c>
      <c r="AI47" s="130"/>
      <c r="AJ47" s="130"/>
      <c r="AK47" s="130">
        <f t="shared" si="9"/>
        <v>0</v>
      </c>
      <c r="AL47" s="103">
        <v>13579031111</v>
      </c>
      <c r="AO47" s="103">
        <f t="shared" si="8"/>
        <v>1083934</v>
      </c>
      <c r="AP47" s="131">
        <f t="shared" si="10"/>
        <v>0.0128</v>
      </c>
      <c r="AY47" s="103">
        <v>1083934</v>
      </c>
      <c r="BI47" s="103" t="s">
        <v>3258</v>
      </c>
    </row>
    <row r="48" s="103" customFormat="1" hidden="1" customHeight="1" spans="1:61">
      <c r="A48" s="103">
        <v>43</v>
      </c>
      <c r="B48" s="125"/>
      <c r="C48" s="126">
        <v>45891</v>
      </c>
      <c r="D48" s="103">
        <v>20250004332</v>
      </c>
      <c r="E48" s="103"/>
      <c r="F48" s="1046" t="s">
        <v>6446</v>
      </c>
      <c r="G48" s="103" t="s">
        <v>6447</v>
      </c>
      <c r="H48" s="103"/>
      <c r="I48" s="125" t="s">
        <v>6456</v>
      </c>
      <c r="J48" s="143">
        <v>45.23</v>
      </c>
      <c r="K48" s="143">
        <v>45.23</v>
      </c>
      <c r="L48" s="103">
        <v>23771.47</v>
      </c>
      <c r="M48" s="130">
        <v>1075184</v>
      </c>
      <c r="N48" s="144">
        <v>23771.47</v>
      </c>
      <c r="O48" s="103"/>
      <c r="P48" s="103"/>
      <c r="Q48" s="103"/>
      <c r="R48" s="103"/>
      <c r="S48" s="126"/>
      <c r="T48" s="103"/>
      <c r="U48" s="103" t="s">
        <v>722</v>
      </c>
      <c r="V48" s="103">
        <v>200000</v>
      </c>
      <c r="W48" s="103" t="s">
        <v>765</v>
      </c>
      <c r="X48" s="103">
        <f>110000+102549</f>
        <v>212549</v>
      </c>
      <c r="Y48" s="126">
        <v>45863</v>
      </c>
      <c r="Z48" s="103">
        <f>590000+72635</f>
        <v>662635</v>
      </c>
      <c r="AA48" s="126">
        <v>45873</v>
      </c>
      <c r="AB48" s="103"/>
      <c r="AC48" s="103"/>
      <c r="AD48" s="103"/>
      <c r="AE48" s="103"/>
      <c r="AF48" s="103"/>
      <c r="AG48" s="103"/>
      <c r="AH48" s="130">
        <f t="shared" si="7"/>
        <v>1075184</v>
      </c>
      <c r="AI48" s="130"/>
      <c r="AJ48" s="130"/>
      <c r="AK48" s="130">
        <f t="shared" si="9"/>
        <v>0</v>
      </c>
      <c r="AL48" s="103">
        <v>13579031111</v>
      </c>
      <c r="AO48" s="103">
        <f t="shared" si="8"/>
        <v>1075184</v>
      </c>
      <c r="AP48" s="131">
        <f t="shared" si="10"/>
        <v>0.0128</v>
      </c>
      <c r="AX48" s="103">
        <v>1075184</v>
      </c>
      <c r="BI48" s="103" t="s">
        <v>260</v>
      </c>
    </row>
    <row r="49" s="103" customFormat="1" hidden="1" customHeight="1" spans="1:61">
      <c r="A49" s="103">
        <v>44</v>
      </c>
      <c r="B49" s="125"/>
      <c r="C49" s="126">
        <v>45862</v>
      </c>
      <c r="D49" s="103">
        <v>20250003931</v>
      </c>
      <c r="E49" s="103"/>
      <c r="F49" s="1046" t="s">
        <v>6446</v>
      </c>
      <c r="G49" s="103" t="s">
        <v>6447</v>
      </c>
      <c r="H49" s="103"/>
      <c r="I49" s="125" t="s">
        <v>6457</v>
      </c>
      <c r="J49" s="143">
        <v>45.74</v>
      </c>
      <c r="K49" s="143">
        <v>45.74</v>
      </c>
      <c r="L49" s="103">
        <v>23868.2</v>
      </c>
      <c r="M49" s="130">
        <v>1091732</v>
      </c>
      <c r="N49" s="144">
        <v>23868.2</v>
      </c>
      <c r="O49" s="103"/>
      <c r="P49" s="103"/>
      <c r="Q49" s="103"/>
      <c r="R49" s="103"/>
      <c r="S49" s="126"/>
      <c r="T49" s="103"/>
      <c r="U49" s="103" t="s">
        <v>722</v>
      </c>
      <c r="V49" s="103">
        <v>200000</v>
      </c>
      <c r="W49" s="103" t="s">
        <v>765</v>
      </c>
      <c r="X49" s="103">
        <v>891732</v>
      </c>
      <c r="Y49" s="126">
        <v>45862</v>
      </c>
      <c r="Z49" s="103"/>
      <c r="AA49" s="126"/>
      <c r="AB49" s="103"/>
      <c r="AC49" s="103"/>
      <c r="AD49" s="103"/>
      <c r="AE49" s="103"/>
      <c r="AF49" s="103"/>
      <c r="AG49" s="103"/>
      <c r="AH49" s="130">
        <f t="shared" si="7"/>
        <v>1091732</v>
      </c>
      <c r="AI49" s="130"/>
      <c r="AJ49" s="130"/>
      <c r="AK49" s="130">
        <f t="shared" si="9"/>
        <v>0</v>
      </c>
      <c r="AL49" s="103">
        <v>13579031111</v>
      </c>
      <c r="AO49" s="103">
        <f t="shared" si="8"/>
        <v>1091732</v>
      </c>
      <c r="AP49" s="131">
        <f t="shared" si="10"/>
        <v>0.0128</v>
      </c>
      <c r="AW49" s="103">
        <v>1091732</v>
      </c>
      <c r="BI49" s="103" t="s">
        <v>260</v>
      </c>
    </row>
    <row r="50" s="103" customFormat="1" hidden="1" customHeight="1" spans="1:61">
      <c r="A50" s="103">
        <v>45</v>
      </c>
      <c r="B50" s="125"/>
      <c r="C50" s="126">
        <v>45862</v>
      </c>
      <c r="D50" s="103">
        <v>20250003930</v>
      </c>
      <c r="E50" s="103"/>
      <c r="F50" s="1046" t="s">
        <v>6446</v>
      </c>
      <c r="G50" s="103" t="s">
        <v>6447</v>
      </c>
      <c r="H50" s="103"/>
      <c r="I50" s="125" t="s">
        <v>6458</v>
      </c>
      <c r="J50" s="143">
        <v>45.74</v>
      </c>
      <c r="K50" s="143">
        <v>45.74</v>
      </c>
      <c r="L50" s="103">
        <v>24059.7</v>
      </c>
      <c r="M50" s="130">
        <v>1100491</v>
      </c>
      <c r="N50" s="144">
        <v>24059.7</v>
      </c>
      <c r="O50" s="103"/>
      <c r="P50" s="103"/>
      <c r="Q50" s="103"/>
      <c r="R50" s="103"/>
      <c r="S50" s="126"/>
      <c r="T50" s="103"/>
      <c r="U50" s="103" t="s">
        <v>722</v>
      </c>
      <c r="V50" s="103">
        <v>200000</v>
      </c>
      <c r="W50" s="103" t="s">
        <v>765</v>
      </c>
      <c r="X50" s="103">
        <f>232212+300000</f>
        <v>532212</v>
      </c>
      <c r="Y50" s="103" t="s">
        <v>839</v>
      </c>
      <c r="Z50" s="103">
        <v>368279</v>
      </c>
      <c r="AA50" s="126">
        <v>45862</v>
      </c>
      <c r="AB50" s="103"/>
      <c r="AC50" s="103"/>
      <c r="AD50" s="103"/>
      <c r="AE50" s="103"/>
      <c r="AF50" s="103"/>
      <c r="AG50" s="103"/>
      <c r="AH50" s="130">
        <f t="shared" si="7"/>
        <v>1100491</v>
      </c>
      <c r="AI50" s="130"/>
      <c r="AJ50" s="130"/>
      <c r="AK50" s="130">
        <f t="shared" si="9"/>
        <v>0</v>
      </c>
      <c r="AL50" s="103">
        <v>13579031111</v>
      </c>
      <c r="AO50" s="103">
        <f t="shared" si="8"/>
        <v>1100491</v>
      </c>
      <c r="AP50" s="131">
        <f t="shared" si="10"/>
        <v>0.0128</v>
      </c>
      <c r="AW50" s="103">
        <v>1100491</v>
      </c>
      <c r="BI50" s="103" t="s">
        <v>260</v>
      </c>
    </row>
    <row r="51" s="103" customFormat="1" hidden="1" customHeight="1" spans="1:61">
      <c r="A51" s="103">
        <v>46</v>
      </c>
      <c r="B51" s="125"/>
      <c r="C51" s="126">
        <v>45782</v>
      </c>
      <c r="D51" s="103">
        <v>20250002536</v>
      </c>
      <c r="E51" s="103"/>
      <c r="F51" s="1046" t="s">
        <v>6446</v>
      </c>
      <c r="G51" s="103" t="s">
        <v>6447</v>
      </c>
      <c r="H51" s="103"/>
      <c r="I51" s="125" t="s">
        <v>6459</v>
      </c>
      <c r="J51" s="143">
        <v>45.23</v>
      </c>
      <c r="K51" s="143">
        <v>45.23</v>
      </c>
      <c r="L51" s="103">
        <v>17395.93</v>
      </c>
      <c r="M51" s="130">
        <v>786818</v>
      </c>
      <c r="N51" s="144">
        <v>17395.93</v>
      </c>
      <c r="O51" s="103"/>
      <c r="P51" s="103"/>
      <c r="Q51" s="103"/>
      <c r="R51" s="103"/>
      <c r="S51" s="103"/>
      <c r="T51" s="103"/>
      <c r="U51" s="103" t="s">
        <v>722</v>
      </c>
      <c r="V51" s="103">
        <v>200000</v>
      </c>
      <c r="W51" s="103" t="s">
        <v>765</v>
      </c>
      <c r="X51" s="103">
        <v>586818</v>
      </c>
      <c r="Y51" s="103" t="s">
        <v>3105</v>
      </c>
      <c r="Z51" s="103"/>
      <c r="AA51" s="103"/>
      <c r="AB51" s="103"/>
      <c r="AC51" s="103"/>
      <c r="AD51" s="103"/>
      <c r="AE51" s="103"/>
      <c r="AF51" s="103"/>
      <c r="AG51" s="103"/>
      <c r="AH51" s="130">
        <f t="shared" si="7"/>
        <v>786818</v>
      </c>
      <c r="AI51" s="130"/>
      <c r="AJ51" s="130"/>
      <c r="AK51" s="130">
        <f t="shared" si="9"/>
        <v>0</v>
      </c>
      <c r="AL51" s="103">
        <v>13579031111</v>
      </c>
      <c r="AO51" s="103">
        <f t="shared" si="8"/>
        <v>786818</v>
      </c>
      <c r="AP51" s="131">
        <f t="shared" si="10"/>
        <v>0.0128</v>
      </c>
      <c r="AU51" s="103">
        <v>786818</v>
      </c>
      <c r="BI51" s="103" t="s">
        <v>260</v>
      </c>
    </row>
    <row r="52" s="103" customFormat="1" hidden="1" customHeight="1" spans="1:61">
      <c r="A52" s="103">
        <v>47</v>
      </c>
      <c r="B52" s="125"/>
      <c r="C52" s="126">
        <v>45779</v>
      </c>
      <c r="D52" s="103">
        <v>20250002360</v>
      </c>
      <c r="E52" s="103"/>
      <c r="F52" s="1046" t="s">
        <v>6446</v>
      </c>
      <c r="G52" s="103" t="s">
        <v>6447</v>
      </c>
      <c r="H52" s="103"/>
      <c r="I52" s="125" t="s">
        <v>6460</v>
      </c>
      <c r="J52" s="143">
        <v>45.23</v>
      </c>
      <c r="K52" s="143">
        <v>45.23</v>
      </c>
      <c r="L52" s="103">
        <v>17300.61</v>
      </c>
      <c r="M52" s="130">
        <v>782507</v>
      </c>
      <c r="N52" s="144">
        <v>17300.61</v>
      </c>
      <c r="O52" s="103"/>
      <c r="P52" s="103"/>
      <c r="Q52" s="103"/>
      <c r="R52" s="103"/>
      <c r="S52" s="103"/>
      <c r="T52" s="103"/>
      <c r="U52" s="103" t="s">
        <v>722</v>
      </c>
      <c r="V52" s="103">
        <v>200000</v>
      </c>
      <c r="W52" s="103" t="s">
        <v>765</v>
      </c>
      <c r="X52" s="103">
        <f>103557+100000</f>
        <v>203557</v>
      </c>
      <c r="Y52" s="103" t="s">
        <v>5943</v>
      </c>
      <c r="Z52" s="103">
        <v>378950</v>
      </c>
      <c r="AA52" s="103" t="s">
        <v>3105</v>
      </c>
      <c r="AB52" s="103"/>
      <c r="AC52" s="103"/>
      <c r="AD52" s="103"/>
      <c r="AE52" s="103"/>
      <c r="AF52" s="103"/>
      <c r="AG52" s="103"/>
      <c r="AH52" s="130">
        <f t="shared" si="7"/>
        <v>782507</v>
      </c>
      <c r="AI52" s="130"/>
      <c r="AJ52" s="130"/>
      <c r="AK52" s="130">
        <f t="shared" si="9"/>
        <v>0</v>
      </c>
      <c r="AL52" s="103">
        <v>13579031111</v>
      </c>
      <c r="AO52" s="103">
        <f t="shared" si="8"/>
        <v>782507</v>
      </c>
      <c r="AP52" s="131">
        <f t="shared" si="10"/>
        <v>0.0128</v>
      </c>
      <c r="AU52" s="103">
        <v>782507</v>
      </c>
      <c r="BI52" s="103" t="s">
        <v>260</v>
      </c>
    </row>
    <row r="53" s="103" customFormat="1" hidden="1" customHeight="1" spans="1:61">
      <c r="A53" s="103">
        <v>48</v>
      </c>
      <c r="B53" s="125"/>
      <c r="C53" s="126">
        <v>45716</v>
      </c>
      <c r="D53" s="103">
        <v>20250000940</v>
      </c>
      <c r="E53" s="103"/>
      <c r="F53" s="1046" t="s">
        <v>6446</v>
      </c>
      <c r="G53" s="103" t="s">
        <v>6447</v>
      </c>
      <c r="H53" s="103"/>
      <c r="I53" s="125" t="s">
        <v>6461</v>
      </c>
      <c r="J53" s="143">
        <v>45.15</v>
      </c>
      <c r="K53" s="143">
        <v>45.15</v>
      </c>
      <c r="L53" s="103">
        <v>17203.88</v>
      </c>
      <c r="M53" s="130">
        <v>776756</v>
      </c>
      <c r="N53" s="144">
        <v>17203.88</v>
      </c>
      <c r="O53" s="103"/>
      <c r="P53" s="103"/>
      <c r="Q53" s="103"/>
      <c r="R53" s="103"/>
      <c r="S53" s="103"/>
      <c r="T53" s="103"/>
      <c r="U53" s="103" t="s">
        <v>722</v>
      </c>
      <c r="V53" s="103">
        <v>200000</v>
      </c>
      <c r="W53" s="103" t="s">
        <v>765</v>
      </c>
      <c r="X53" s="103">
        <v>576756</v>
      </c>
      <c r="Y53" s="103" t="s">
        <v>5943</v>
      </c>
      <c r="Z53" s="103"/>
      <c r="AA53" s="103"/>
      <c r="AB53" s="103"/>
      <c r="AC53" s="103"/>
      <c r="AD53" s="103"/>
      <c r="AE53" s="103"/>
      <c r="AF53" s="103"/>
      <c r="AG53" s="103"/>
      <c r="AH53" s="130">
        <f t="shared" si="7"/>
        <v>776756</v>
      </c>
      <c r="AI53" s="130"/>
      <c r="AJ53" s="130"/>
      <c r="AK53" s="130">
        <f t="shared" si="9"/>
        <v>0</v>
      </c>
      <c r="AL53" s="103">
        <v>13579031111</v>
      </c>
      <c r="AO53" s="103">
        <f t="shared" si="8"/>
        <v>776756</v>
      </c>
      <c r="AP53" s="131">
        <f t="shared" si="10"/>
        <v>0.0128</v>
      </c>
      <c r="AR53" s="103">
        <v>776756</v>
      </c>
      <c r="BI53" s="103" t="s">
        <v>260</v>
      </c>
    </row>
    <row r="54" s="103" customFormat="1" hidden="1" customHeight="1" spans="1:61">
      <c r="A54" s="103">
        <v>49</v>
      </c>
      <c r="B54" s="125"/>
      <c r="C54" s="126">
        <v>45716</v>
      </c>
      <c r="D54" s="103">
        <v>20250000941</v>
      </c>
      <c r="E54" s="103"/>
      <c r="F54" s="1046" t="s">
        <v>6446</v>
      </c>
      <c r="G54" s="103" t="s">
        <v>6447</v>
      </c>
      <c r="H54" s="103"/>
      <c r="I54" s="125" t="s">
        <v>6462</v>
      </c>
      <c r="J54" s="143">
        <v>51.95</v>
      </c>
      <c r="K54" s="143">
        <v>51.95</v>
      </c>
      <c r="L54" s="103">
        <v>17300.61</v>
      </c>
      <c r="M54" s="130">
        <v>898767</v>
      </c>
      <c r="N54" s="144">
        <v>17300.61</v>
      </c>
      <c r="O54" s="103"/>
      <c r="P54" s="103"/>
      <c r="Q54" s="103"/>
      <c r="R54" s="103"/>
      <c r="S54" s="103"/>
      <c r="T54" s="103"/>
      <c r="U54" s="103" t="s">
        <v>722</v>
      </c>
      <c r="V54" s="103">
        <v>200000</v>
      </c>
      <c r="W54" s="103" t="s">
        <v>765</v>
      </c>
      <c r="X54" s="103">
        <v>526229</v>
      </c>
      <c r="Y54" s="103" t="s">
        <v>6251</v>
      </c>
      <c r="Z54" s="103">
        <v>172538</v>
      </c>
      <c r="AA54" s="103" t="s">
        <v>5943</v>
      </c>
      <c r="AB54" s="103"/>
      <c r="AC54" s="103"/>
      <c r="AD54" s="103"/>
      <c r="AE54" s="103"/>
      <c r="AF54" s="103"/>
      <c r="AG54" s="103"/>
      <c r="AH54" s="130">
        <f t="shared" si="7"/>
        <v>898767</v>
      </c>
      <c r="AI54" s="130"/>
      <c r="AJ54" s="130"/>
      <c r="AK54" s="130">
        <f t="shared" si="9"/>
        <v>0</v>
      </c>
      <c r="AL54" s="103">
        <v>13579031111</v>
      </c>
      <c r="AO54" s="103">
        <f t="shared" si="8"/>
        <v>898767</v>
      </c>
      <c r="AP54" s="131">
        <f t="shared" si="10"/>
        <v>0.0128</v>
      </c>
      <c r="AR54" s="103">
        <v>898767</v>
      </c>
      <c r="BI54" s="103" t="s">
        <v>260</v>
      </c>
    </row>
    <row r="55" s="103" customFormat="1" hidden="1" customHeight="1" spans="1:61">
      <c r="A55" s="103">
        <v>50</v>
      </c>
      <c r="B55" s="125"/>
      <c r="C55" s="126">
        <v>45657</v>
      </c>
      <c r="D55" s="103">
        <v>20240007552</v>
      </c>
      <c r="E55" s="103"/>
      <c r="F55" s="1046" t="s">
        <v>6446</v>
      </c>
      <c r="G55" s="103" t="s">
        <v>6447</v>
      </c>
      <c r="H55" s="103"/>
      <c r="I55" s="125" t="s">
        <v>6463</v>
      </c>
      <c r="J55" s="143">
        <v>45.23</v>
      </c>
      <c r="K55" s="143">
        <v>45.23</v>
      </c>
      <c r="L55" s="103">
        <v>17397.33</v>
      </c>
      <c r="M55" s="130">
        <v>786882</v>
      </c>
      <c r="N55" s="144">
        <v>17397.33</v>
      </c>
      <c r="O55" s="103"/>
      <c r="P55" s="103"/>
      <c r="Q55" s="103"/>
      <c r="R55" s="103"/>
      <c r="S55" s="103"/>
      <c r="T55" s="103"/>
      <c r="U55" s="103" t="s">
        <v>722</v>
      </c>
      <c r="V55" s="103">
        <v>113111</v>
      </c>
      <c r="W55" s="103" t="s">
        <v>504</v>
      </c>
      <c r="X55" s="103">
        <v>200000</v>
      </c>
      <c r="Y55" s="103" t="s">
        <v>3838</v>
      </c>
      <c r="Z55" s="103">
        <v>473771</v>
      </c>
      <c r="AA55" s="103" t="s">
        <v>6251</v>
      </c>
      <c r="AB55" s="103"/>
      <c r="AC55" s="103"/>
      <c r="AD55" s="103"/>
      <c r="AE55" s="103"/>
      <c r="AF55" s="103"/>
      <c r="AG55" s="103"/>
      <c r="AH55" s="130">
        <f t="shared" si="7"/>
        <v>786882</v>
      </c>
      <c r="AI55" s="130"/>
      <c r="AJ55" s="130"/>
      <c r="AK55" s="130">
        <f t="shared" si="9"/>
        <v>0</v>
      </c>
      <c r="AL55" s="103">
        <v>13579031111</v>
      </c>
      <c r="AO55" s="103">
        <f t="shared" si="8"/>
        <v>786882</v>
      </c>
      <c r="AP55" s="131">
        <f t="shared" ref="AP55:AP59" si="11">1%+0.25%+0.03%</f>
        <v>0.0128</v>
      </c>
      <c r="AQ55" s="103">
        <v>786882</v>
      </c>
      <c r="BI55" s="103" t="s">
        <v>260</v>
      </c>
    </row>
    <row r="56" s="103" customFormat="1" hidden="1" customHeight="1" spans="1:61">
      <c r="A56" s="103">
        <v>51</v>
      </c>
      <c r="B56" s="125"/>
      <c r="C56" s="126">
        <v>45650</v>
      </c>
      <c r="D56" s="103">
        <v>20240007416</v>
      </c>
      <c r="E56" s="103"/>
      <c r="F56" s="1046" t="s">
        <v>6446</v>
      </c>
      <c r="G56" s="103" t="s">
        <v>6447</v>
      </c>
      <c r="H56" s="103"/>
      <c r="I56" s="125" t="s">
        <v>6464</v>
      </c>
      <c r="J56" s="143">
        <v>45.23</v>
      </c>
      <c r="K56" s="143">
        <v>45.23</v>
      </c>
      <c r="L56" s="103">
        <v>17494.06</v>
      </c>
      <c r="M56" s="130">
        <v>791257</v>
      </c>
      <c r="N56" s="144">
        <v>17494.06</v>
      </c>
      <c r="O56" s="103"/>
      <c r="P56" s="103"/>
      <c r="Q56" s="103"/>
      <c r="R56" s="103"/>
      <c r="S56" s="103"/>
      <c r="T56" s="103"/>
      <c r="U56" s="103" t="s">
        <v>722</v>
      </c>
      <c r="V56" s="103">
        <v>591257</v>
      </c>
      <c r="W56" s="103" t="s">
        <v>504</v>
      </c>
      <c r="X56" s="103">
        <v>200000</v>
      </c>
      <c r="Y56" s="103" t="s">
        <v>5727</v>
      </c>
      <c r="Z56" s="103"/>
      <c r="AA56" s="103"/>
      <c r="AB56" s="103"/>
      <c r="AC56" s="103"/>
      <c r="AD56" s="103"/>
      <c r="AE56" s="103"/>
      <c r="AF56" s="103"/>
      <c r="AG56" s="103"/>
      <c r="AH56" s="130">
        <f t="shared" si="7"/>
        <v>791257</v>
      </c>
      <c r="AI56" s="130"/>
      <c r="AJ56" s="130"/>
      <c r="AK56" s="130">
        <f t="shared" si="9"/>
        <v>0</v>
      </c>
      <c r="AL56" s="103">
        <v>13579031111</v>
      </c>
      <c r="AO56" s="103">
        <f t="shared" si="8"/>
        <v>791257</v>
      </c>
      <c r="AP56" s="131">
        <f t="shared" si="11"/>
        <v>0.0128</v>
      </c>
      <c r="AQ56" s="103">
        <v>791257</v>
      </c>
      <c r="BI56" s="103" t="s">
        <v>260</v>
      </c>
    </row>
    <row r="57" s="103" customFormat="1" hidden="1" customHeight="1" spans="1:61">
      <c r="A57" s="103">
        <v>52</v>
      </c>
      <c r="B57" s="125"/>
      <c r="C57" s="126">
        <v>45650</v>
      </c>
      <c r="D57" s="103">
        <v>20240007420</v>
      </c>
      <c r="E57" s="103"/>
      <c r="F57" s="1046" t="s">
        <v>6446</v>
      </c>
      <c r="G57" s="103" t="s">
        <v>6447</v>
      </c>
      <c r="H57" s="103"/>
      <c r="I57" s="125" t="s">
        <v>6465</v>
      </c>
      <c r="J57" s="143">
        <v>45.23</v>
      </c>
      <c r="K57" s="143">
        <v>45.23</v>
      </c>
      <c r="L57" s="103">
        <v>17590.79</v>
      </c>
      <c r="M57" s="130">
        <v>795632</v>
      </c>
      <c r="N57" s="144">
        <v>17590.79</v>
      </c>
      <c r="O57" s="103"/>
      <c r="P57" s="103"/>
      <c r="Q57" s="103"/>
      <c r="R57" s="103"/>
      <c r="S57" s="103"/>
      <c r="T57" s="103"/>
      <c r="U57" s="103" t="s">
        <v>722</v>
      </c>
      <c r="V57" s="103">
        <v>295632</v>
      </c>
      <c r="W57" s="103" t="s">
        <v>504</v>
      </c>
      <c r="X57" s="103">
        <f>200000+300000</f>
        <v>500000</v>
      </c>
      <c r="Y57" s="103" t="s">
        <v>4697</v>
      </c>
      <c r="Z57" s="103"/>
      <c r="AA57" s="103"/>
      <c r="AB57" s="103"/>
      <c r="AC57" s="103"/>
      <c r="AD57" s="103"/>
      <c r="AE57" s="103"/>
      <c r="AF57" s="103"/>
      <c r="AG57" s="103"/>
      <c r="AH57" s="130">
        <f t="shared" si="7"/>
        <v>795632</v>
      </c>
      <c r="AI57" s="130"/>
      <c r="AJ57" s="130"/>
      <c r="AK57" s="130">
        <f t="shared" si="9"/>
        <v>0</v>
      </c>
      <c r="AL57" s="103">
        <v>13579031111</v>
      </c>
      <c r="AO57" s="103">
        <f t="shared" si="8"/>
        <v>795632</v>
      </c>
      <c r="AP57" s="131">
        <f t="shared" si="11"/>
        <v>0.0128</v>
      </c>
      <c r="AQ57" s="103">
        <v>795632</v>
      </c>
      <c r="BI57" s="103" t="s">
        <v>260</v>
      </c>
    </row>
    <row r="58" s="103" customFormat="1" hidden="1" customHeight="1" spans="1:61">
      <c r="A58" s="103">
        <v>53</v>
      </c>
      <c r="B58" s="125"/>
      <c r="C58" s="126">
        <v>45716</v>
      </c>
      <c r="D58" s="103">
        <v>20250000942</v>
      </c>
      <c r="E58" s="103"/>
      <c r="F58" s="1046" t="s">
        <v>6446</v>
      </c>
      <c r="G58" s="103" t="s">
        <v>6447</v>
      </c>
      <c r="H58" s="103"/>
      <c r="I58" s="125" t="s">
        <v>6466</v>
      </c>
      <c r="J58" s="143">
        <v>46.87</v>
      </c>
      <c r="K58" s="143">
        <v>46.87</v>
      </c>
      <c r="L58" s="103">
        <v>18074.42</v>
      </c>
      <c r="M58" s="130">
        <v>847149</v>
      </c>
      <c r="N58" s="144">
        <v>18074.42</v>
      </c>
      <c r="O58" s="103"/>
      <c r="P58" s="103"/>
      <c r="Q58" s="103"/>
      <c r="R58" s="103"/>
      <c r="S58" s="103"/>
      <c r="T58" s="103"/>
      <c r="U58" s="103" t="s">
        <v>722</v>
      </c>
      <c r="V58" s="103">
        <v>200000</v>
      </c>
      <c r="W58" s="103" t="s">
        <v>765</v>
      </c>
      <c r="X58" s="103">
        <v>600000</v>
      </c>
      <c r="Y58" s="103" t="s">
        <v>657</v>
      </c>
      <c r="Z58" s="103">
        <v>47149</v>
      </c>
      <c r="AA58" s="103" t="s">
        <v>5943</v>
      </c>
      <c r="AB58" s="103"/>
      <c r="AC58" s="103"/>
      <c r="AD58" s="103"/>
      <c r="AE58" s="103"/>
      <c r="AF58" s="103"/>
      <c r="AG58" s="103"/>
      <c r="AH58" s="130">
        <f t="shared" si="7"/>
        <v>847149</v>
      </c>
      <c r="AI58" s="130"/>
      <c r="AJ58" s="130"/>
      <c r="AK58" s="130">
        <f t="shared" si="9"/>
        <v>0</v>
      </c>
      <c r="AL58" s="103">
        <v>13579031111</v>
      </c>
      <c r="AO58" s="103">
        <f t="shared" si="8"/>
        <v>847149</v>
      </c>
      <c r="AP58" s="131">
        <f t="shared" si="11"/>
        <v>0.0128</v>
      </c>
      <c r="AR58" s="103">
        <v>847149</v>
      </c>
      <c r="BI58" s="103" t="s">
        <v>260</v>
      </c>
    </row>
    <row r="59" s="103" customFormat="1" hidden="1" customHeight="1" spans="1:61">
      <c r="A59" s="103">
        <v>54</v>
      </c>
      <c r="B59" s="125"/>
      <c r="C59" s="126">
        <v>45827</v>
      </c>
      <c r="D59" s="103">
        <v>20250003258</v>
      </c>
      <c r="E59" s="103"/>
      <c r="F59" s="1046" t="s">
        <v>6446</v>
      </c>
      <c r="G59" s="103" t="s">
        <v>6447</v>
      </c>
      <c r="H59" s="103"/>
      <c r="I59" s="125" t="s">
        <v>6467</v>
      </c>
      <c r="J59" s="143">
        <v>45.74</v>
      </c>
      <c r="K59" s="143">
        <v>45.74</v>
      </c>
      <c r="L59" s="103">
        <v>23000</v>
      </c>
      <c r="M59" s="130">
        <v>1052020</v>
      </c>
      <c r="N59" s="144">
        <v>23000</v>
      </c>
      <c r="O59" s="103"/>
      <c r="P59" s="103"/>
      <c r="Q59" s="103"/>
      <c r="R59" s="103"/>
      <c r="S59" s="103"/>
      <c r="T59" s="103"/>
      <c r="U59" s="103" t="s">
        <v>722</v>
      </c>
      <c r="V59" s="103">
        <v>250000</v>
      </c>
      <c r="W59" s="103" t="s">
        <v>4510</v>
      </c>
      <c r="X59" s="103">
        <v>34232</v>
      </c>
      <c r="Y59" s="103" t="s">
        <v>3105</v>
      </c>
      <c r="Z59" s="103">
        <v>767788</v>
      </c>
      <c r="AA59" s="103" t="s">
        <v>839</v>
      </c>
      <c r="AB59" s="103"/>
      <c r="AC59" s="103"/>
      <c r="AD59" s="103"/>
      <c r="AE59" s="103"/>
      <c r="AF59" s="103"/>
      <c r="AG59" s="103"/>
      <c r="AH59" s="130">
        <f t="shared" si="7"/>
        <v>1052020</v>
      </c>
      <c r="AI59" s="130"/>
      <c r="AJ59" s="130"/>
      <c r="AK59" s="130">
        <f t="shared" si="9"/>
        <v>0</v>
      </c>
      <c r="AL59" s="103">
        <v>13579031111</v>
      </c>
      <c r="AO59" s="103">
        <f t="shared" si="8"/>
        <v>1052020</v>
      </c>
      <c r="AP59" s="131">
        <f t="shared" si="11"/>
        <v>0.0128</v>
      </c>
      <c r="AV59" s="103">
        <v>1052020</v>
      </c>
      <c r="BI59" s="103" t="s">
        <v>260</v>
      </c>
    </row>
    <row r="60" s="103" customFormat="1" hidden="1" customHeight="1" spans="1:61">
      <c r="A60" s="103">
        <v>55</v>
      </c>
      <c r="B60" s="125"/>
      <c r="C60" s="126">
        <v>45779</v>
      </c>
      <c r="D60" s="103">
        <v>20250002401</v>
      </c>
      <c r="E60" s="103"/>
      <c r="F60" s="1046" t="s">
        <v>6468</v>
      </c>
      <c r="G60" s="103" t="s">
        <v>6469</v>
      </c>
      <c r="H60" s="1046" t="s">
        <v>6470</v>
      </c>
      <c r="I60" s="125" t="s">
        <v>6471</v>
      </c>
      <c r="J60" s="143">
        <v>319.41</v>
      </c>
      <c r="K60" s="143">
        <v>319.41</v>
      </c>
      <c r="L60" s="103">
        <v>11000</v>
      </c>
      <c r="M60" s="130">
        <v>3513510</v>
      </c>
      <c r="N60" s="144">
        <v>11136.88</v>
      </c>
      <c r="O60" s="103"/>
      <c r="P60" s="103"/>
      <c r="Q60" s="103"/>
      <c r="R60" s="103">
        <v>550000</v>
      </c>
      <c r="S60" s="126">
        <v>46091</v>
      </c>
      <c r="T60" s="103"/>
      <c r="U60" s="103" t="s">
        <v>370</v>
      </c>
      <c r="V60" s="103">
        <v>100000</v>
      </c>
      <c r="W60" s="103" t="s">
        <v>3549</v>
      </c>
      <c r="X60" s="103">
        <v>1663510</v>
      </c>
      <c r="Y60" s="103" t="s">
        <v>3239</v>
      </c>
      <c r="Z60" s="103">
        <v>550000</v>
      </c>
      <c r="AA60" s="126">
        <v>46091</v>
      </c>
      <c r="AB60" s="103"/>
      <c r="AC60" s="103"/>
      <c r="AD60" s="103"/>
      <c r="AE60" s="103"/>
      <c r="AF60" s="103"/>
      <c r="AG60" s="103"/>
      <c r="AH60" s="130">
        <f t="shared" si="7"/>
        <v>2313510</v>
      </c>
      <c r="AI60" s="130"/>
      <c r="AJ60" s="130"/>
      <c r="AK60" s="130">
        <f t="shared" si="9"/>
        <v>1200000</v>
      </c>
      <c r="AL60" s="103">
        <v>15001596148</v>
      </c>
      <c r="AM60" s="103" t="s">
        <v>574</v>
      </c>
      <c r="AO60" s="103">
        <f t="shared" si="8"/>
        <v>1763510</v>
      </c>
      <c r="AP60" s="131">
        <f>1%+0.18%+0.25%+0.03%</f>
        <v>0.0146</v>
      </c>
      <c r="AU60" s="103">
        <v>1763510</v>
      </c>
      <c r="BI60" s="103" t="s">
        <v>260</v>
      </c>
    </row>
    <row r="61" s="104" customFormat="1" ht="18" hidden="1" customHeight="1" spans="1:61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6472</v>
      </c>
      <c r="J61" s="147">
        <v>317.38</v>
      </c>
      <c r="K61" s="147"/>
      <c r="L61" s="104"/>
      <c r="M61" s="138"/>
      <c r="N61" s="148">
        <v>1091414</v>
      </c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38">
        <f t="shared" si="7"/>
        <v>0</v>
      </c>
      <c r="AI61" s="138"/>
      <c r="AJ61" s="138"/>
      <c r="AK61" s="138">
        <f t="shared" si="9"/>
        <v>0</v>
      </c>
      <c r="AO61" s="103">
        <f t="shared" si="8"/>
        <v>0</v>
      </c>
    </row>
    <row r="62" s="103" customFormat="1" ht="18" customHeight="1" spans="1:61">
      <c r="A62" s="103">
        <v>57</v>
      </c>
      <c r="B62" s="125"/>
      <c r="C62" s="126">
        <v>45934</v>
      </c>
      <c r="D62" s="103">
        <v>20250005064</v>
      </c>
      <c r="E62" s="103"/>
      <c r="F62" s="1046" t="s">
        <v>6473</v>
      </c>
      <c r="G62" s="103" t="s">
        <v>6474</v>
      </c>
      <c r="H62" s="103"/>
      <c r="I62" s="125" t="s">
        <v>6475</v>
      </c>
      <c r="J62" s="143">
        <v>209.44</v>
      </c>
      <c r="K62" s="143">
        <v>209.44</v>
      </c>
      <c r="L62" s="103">
        <v>10523.3</v>
      </c>
      <c r="M62" s="130">
        <v>2204000</v>
      </c>
      <c r="N62" s="144">
        <v>10790.88</v>
      </c>
      <c r="O62" s="103"/>
      <c r="P62" s="103"/>
      <c r="Q62" s="103"/>
      <c r="R62" s="103"/>
      <c r="S62" s="126"/>
      <c r="T62" s="103"/>
      <c r="U62" s="103" t="s">
        <v>294</v>
      </c>
      <c r="V62" s="103">
        <v>20000</v>
      </c>
      <c r="W62" s="103" t="s">
        <v>3597</v>
      </c>
      <c r="X62" s="103">
        <v>80000</v>
      </c>
      <c r="Y62" s="126" t="s">
        <v>6476</v>
      </c>
      <c r="Z62" s="103">
        <v>1004000</v>
      </c>
      <c r="AA62" s="126">
        <v>45934</v>
      </c>
      <c r="AB62" s="103">
        <v>1100000</v>
      </c>
      <c r="AC62" s="126">
        <v>46023</v>
      </c>
      <c r="AD62" s="103"/>
      <c r="AE62" s="103"/>
      <c r="AF62" s="103"/>
      <c r="AG62" s="103"/>
      <c r="AH62" s="130">
        <f t="shared" si="7"/>
        <v>2204000</v>
      </c>
      <c r="AI62" s="130"/>
      <c r="AJ62" s="130"/>
      <c r="AK62" s="130">
        <f t="shared" si="9"/>
        <v>0</v>
      </c>
      <c r="AL62" s="103">
        <v>18196258701</v>
      </c>
      <c r="AM62" s="103" t="s">
        <v>574</v>
      </c>
      <c r="AO62" s="103">
        <f t="shared" si="8"/>
        <v>2204000</v>
      </c>
      <c r="AP62" s="141">
        <f>1%+0.25%+0.03%</f>
        <v>0.0128</v>
      </c>
      <c r="AZ62" s="103">
        <v>1104000</v>
      </c>
      <c r="BC62" s="103">
        <v>1100000</v>
      </c>
      <c r="BI62" s="103" t="s">
        <v>3258</v>
      </c>
    </row>
    <row r="63" s="103" customFormat="1" ht="18" hidden="1" customHeight="1" spans="1:61">
      <c r="A63" s="103">
        <v>58</v>
      </c>
      <c r="B63" s="125"/>
      <c r="C63" s="126">
        <v>46056</v>
      </c>
      <c r="D63" s="103">
        <v>20260000663</v>
      </c>
      <c r="E63" s="103"/>
      <c r="F63" s="1046" t="s">
        <v>6477</v>
      </c>
      <c r="G63" s="103" t="s">
        <v>6478</v>
      </c>
      <c r="H63" s="103"/>
      <c r="I63" s="125" t="s">
        <v>6479</v>
      </c>
      <c r="J63" s="143">
        <v>210.8</v>
      </c>
      <c r="K63" s="143">
        <v>210.8</v>
      </c>
      <c r="L63" s="103">
        <v>10550.28</v>
      </c>
      <c r="M63" s="130">
        <v>2224000</v>
      </c>
      <c r="N63" s="149">
        <v>10550.28</v>
      </c>
      <c r="O63" s="103"/>
      <c r="P63" s="103"/>
      <c r="Q63" s="103"/>
      <c r="R63" s="103"/>
      <c r="S63" s="126"/>
      <c r="T63" s="103"/>
      <c r="U63" s="103" t="s">
        <v>294</v>
      </c>
      <c r="V63" s="103">
        <v>20000</v>
      </c>
      <c r="W63" s="103" t="s">
        <v>3597</v>
      </c>
      <c r="X63" s="103">
        <v>80000</v>
      </c>
      <c r="Y63" s="126" t="s">
        <v>6476</v>
      </c>
      <c r="Z63" s="103">
        <v>1024000</v>
      </c>
      <c r="AA63" s="126">
        <v>46056</v>
      </c>
      <c r="AB63" s="103"/>
      <c r="AC63" s="103"/>
      <c r="AD63" s="103"/>
      <c r="AE63" s="103"/>
      <c r="AF63" s="103"/>
      <c r="AG63" s="103"/>
      <c r="AH63" s="130">
        <f t="shared" si="7"/>
        <v>1124000</v>
      </c>
      <c r="AI63" s="130"/>
      <c r="AJ63" s="130"/>
      <c r="AK63" s="130">
        <f t="shared" si="9"/>
        <v>1100000</v>
      </c>
      <c r="AL63" s="103">
        <v>13579045102</v>
      </c>
      <c r="AM63" s="103" t="s">
        <v>574</v>
      </c>
      <c r="AO63" s="103">
        <f t="shared" si="8"/>
        <v>1124000</v>
      </c>
      <c r="AP63" s="141">
        <f>1%+0.25%+0.03%</f>
        <v>0.0128</v>
      </c>
      <c r="BD63" s="103">
        <v>1124000</v>
      </c>
    </row>
    <row r="64" s="105" customFormat="1" ht="14.25" hidden="1" spans="1:61">
      <c r="A64" s="105" t="s">
        <v>68</v>
      </c>
      <c r="B64" s="150">
        <f>SUM(B4:B63)</f>
        <v>0</v>
      </c>
      <c r="J64" s="105">
        <f>SUM(J4:J63)</f>
        <v>5820.18999999999</v>
      </c>
      <c r="K64" s="105">
        <f>SUM(K4:K63)</f>
        <v>3161.95</v>
      </c>
      <c r="M64" s="105">
        <f>SUM(M4:M63)</f>
        <v>50842294</v>
      </c>
      <c r="R64" s="105">
        <f>SUM(R4:R63)</f>
        <v>2040000</v>
      </c>
      <c r="V64" s="105">
        <f>SUM(V4:V63)</f>
        <v>6602686</v>
      </c>
      <c r="X64" s="105">
        <f>SUM(X4:X63)</f>
        <v>19683646</v>
      </c>
      <c r="Z64" s="105">
        <f>SUM(Z4:Z63)</f>
        <v>11414566</v>
      </c>
      <c r="AB64" s="105">
        <f>SUM(AB4:AB63)</f>
        <v>4054935</v>
      </c>
      <c r="AD64" s="105">
        <f>SUM(AD4:AD63)</f>
        <v>300000</v>
      </c>
      <c r="AF64" s="105">
        <f>SUM(AF4:AF63)</f>
        <v>610000</v>
      </c>
      <c r="AH64" s="105">
        <f>SUM(AH4:AH63)</f>
        <v>42665833</v>
      </c>
      <c r="AI64" s="105">
        <f>SUM(AI4:AI63)</f>
        <v>0</v>
      </c>
      <c r="AJ64" s="105">
        <f t="shared" ref="AJ64:AO64" si="12">SUM(AJ4:AJ63)</f>
        <v>0</v>
      </c>
      <c r="AK64" s="105">
        <f t="shared" si="12"/>
        <v>8176461</v>
      </c>
      <c r="AO64" s="105">
        <f t="shared" si="12"/>
        <v>40445518</v>
      </c>
      <c r="AP64" s="151"/>
      <c r="AQ64" s="105">
        <f t="shared" ref="AQ64:AY64" si="13">SUM(AQ4:AQ63)</f>
        <v>3174896</v>
      </c>
      <c r="AR64" s="105">
        <f t="shared" si="13"/>
        <v>3608072</v>
      </c>
      <c r="AS64" s="105">
        <f t="shared" si="13"/>
        <v>862200</v>
      </c>
      <c r="AT64" s="105">
        <f t="shared" si="13"/>
        <v>3269349</v>
      </c>
      <c r="AU64" s="105">
        <f t="shared" si="13"/>
        <v>7075885</v>
      </c>
      <c r="AV64" s="105">
        <f t="shared" si="13"/>
        <v>1942020</v>
      </c>
      <c r="AW64" s="105">
        <f t="shared" si="13"/>
        <v>4216021</v>
      </c>
      <c r="BF64" s="105">
        <f>SUM(BF4:BF63)</f>
        <v>0</v>
      </c>
      <c r="BG64" s="105">
        <f>SUM(BG4:BG63)</f>
        <v>0</v>
      </c>
    </row>
    <row r="65" ht="14.25" hidden="1" spans="18:60">
      <c r="S65" s="106" t="s">
        <v>5875</v>
      </c>
      <c r="AP65" s="152"/>
      <c r="AU65" s="106">
        <f>AU64+'画堂春锦13#14#15#17#18# 商铺'!CA151</f>
        <v>8066607</v>
      </c>
      <c r="BG65" s="106">
        <f>BG64+'画堂春锦13#14#15#17#18# 商铺'!CH151</f>
        <v>0</v>
      </c>
    </row>
    <row r="66" ht="14.25" hidden="1" spans="18:60">
      <c r="S66" s="106" t="s">
        <v>1127</v>
      </c>
      <c r="T66" s="106">
        <v>2694000</v>
      </c>
      <c r="AP66" s="152"/>
    </row>
    <row r="67" ht="14.25" hidden="1" spans="18:60">
      <c r="S67" s="106" t="s">
        <v>72</v>
      </c>
      <c r="T67" s="153"/>
      <c r="AP67" s="152"/>
    </row>
    <row r="68" ht="14.25" hidden="1" spans="18:60">
      <c r="R68" s="106">
        <v>2040000</v>
      </c>
      <c r="AP68" s="152"/>
    </row>
    <row r="69" ht="14.25" hidden="1" spans="18:60">
      <c r="AP69" s="152"/>
    </row>
    <row r="70" ht="14.25" hidden="1" spans="18:60">
      <c r="AP70" s="152"/>
      <c r="BG70" s="106" t="s">
        <v>1129</v>
      </c>
      <c r="BH70" s="106">
        <f>BG21+BG48</f>
        <v>0</v>
      </c>
    </row>
    <row r="71" customHeight="1" spans="18:60">
      <c r="AP71" s="152"/>
    </row>
    <row r="72" customHeight="1" spans="18:60">
      <c r="AP72" s="152"/>
    </row>
    <row r="73" customHeight="1" spans="18:60">
      <c r="AP73" s="152"/>
    </row>
    <row r="74" customHeight="1" spans="18:60">
      <c r="AP74" s="152"/>
    </row>
    <row r="75" customHeight="1" spans="18:60">
      <c r="AP75" s="152"/>
    </row>
    <row r="76" customHeight="1" spans="18:60">
      <c r="AP76" s="152"/>
    </row>
    <row r="77" customHeight="1" spans="18:60">
      <c r="AP77" s="152"/>
    </row>
    <row r="78" customHeight="1" spans="18:60">
      <c r="AP78" s="152"/>
    </row>
    <row r="79" customHeight="1" spans="18:60">
      <c r="AP79" s="152"/>
    </row>
  </sheetData>
  <autoFilter xmlns:etc="http://www.wps.cn/officeDocument/2017/etCustomData" ref="A3:BJ70" etc:filterBottomFollowUsedRange="0">
    <filterColumn colId="8">
      <customFilters>
        <customFilter operator="equal" val="19-2层03"/>
      </customFilters>
    </filterColumn>
    <extLst/>
  </autoFilter>
  <mergeCells count="43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27" workbookViewId="0">
      <selection activeCell="C46" sqref="C46:R46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6480</v>
      </c>
      <c r="C1" s="74"/>
      <c r="D1" s="74"/>
      <c r="E1" s="74"/>
      <c r="F1" s="75" t="s">
        <v>6481</v>
      </c>
      <c r="G1" s="76"/>
      <c r="H1" s="76"/>
      <c r="I1" s="73"/>
      <c r="J1" s="77"/>
      <c r="L1" s="73"/>
      <c r="M1" s="74" t="s">
        <v>6480</v>
      </c>
      <c r="N1" s="74"/>
      <c r="O1" s="74"/>
      <c r="P1" s="74"/>
      <c r="Q1" s="75" t="s">
        <v>6481</v>
      </c>
      <c r="R1" s="76"/>
      <c r="S1" s="76"/>
      <c r="T1" s="73"/>
      <c r="U1" s="77"/>
    </row>
    <row r="2" customHeight="1" spans="1:21">
      <c r="A2" s="73" t="s">
        <v>38</v>
      </c>
      <c r="B2" s="78" t="s">
        <v>179</v>
      </c>
      <c r="C2" s="79" t="s">
        <v>6482</v>
      </c>
      <c r="D2" s="79" t="s">
        <v>6483</v>
      </c>
      <c r="E2" s="79" t="s">
        <v>6484</v>
      </c>
      <c r="F2" s="80" t="s">
        <v>177</v>
      </c>
      <c r="G2" s="81" t="s">
        <v>7</v>
      </c>
      <c r="H2" s="81"/>
      <c r="I2" s="73"/>
      <c r="J2" s="77"/>
      <c r="L2" s="73" t="s">
        <v>38</v>
      </c>
      <c r="M2" s="78" t="s">
        <v>179</v>
      </c>
      <c r="N2" s="79" t="s">
        <v>6482</v>
      </c>
      <c r="O2" s="79" t="s">
        <v>6483</v>
      </c>
      <c r="P2" s="79" t="s">
        <v>6484</v>
      </c>
      <c r="Q2" s="80" t="s">
        <v>177</v>
      </c>
      <c r="R2" s="81" t="s">
        <v>7</v>
      </c>
      <c r="S2" s="81"/>
      <c r="T2" s="73"/>
      <c r="U2" s="77"/>
    </row>
    <row r="3" customHeight="1" spans="1:21">
      <c r="A3" s="73"/>
      <c r="B3" s="78"/>
      <c r="C3" s="79"/>
      <c r="D3" s="79"/>
      <c r="E3" s="79"/>
      <c r="F3" s="80"/>
      <c r="G3" s="82" t="s">
        <v>182</v>
      </c>
      <c r="H3" s="82" t="s">
        <v>6485</v>
      </c>
      <c r="I3" s="73"/>
      <c r="J3" s="77" t="s">
        <v>6486</v>
      </c>
      <c r="L3" s="73"/>
      <c r="M3" s="78"/>
      <c r="N3" s="79"/>
      <c r="O3" s="79"/>
      <c r="P3" s="79"/>
      <c r="Q3" s="80"/>
      <c r="R3" s="82" t="s">
        <v>182</v>
      </c>
      <c r="S3" s="82" t="s">
        <v>6485</v>
      </c>
      <c r="T3" s="73"/>
      <c r="U3" s="77" t="s">
        <v>6486</v>
      </c>
    </row>
    <row r="4" customHeight="1" spans="1:21">
      <c r="A4" s="73">
        <v>1</v>
      </c>
      <c r="B4" s="83" t="s">
        <v>1592</v>
      </c>
      <c r="C4" s="74">
        <v>117.51</v>
      </c>
      <c r="D4" s="74">
        <v>117.5</v>
      </c>
      <c r="E4" s="84">
        <v>-0.0100000000000051</v>
      </c>
      <c r="F4" s="85" t="s">
        <v>1590</v>
      </c>
      <c r="G4" s="86">
        <v>8050</v>
      </c>
      <c r="H4" s="86">
        <v>945956</v>
      </c>
      <c r="I4" s="73"/>
      <c r="J4" s="77">
        <f>E4*G4</f>
        <v>-80.5000000000411</v>
      </c>
      <c r="L4" s="73">
        <v>1</v>
      </c>
      <c r="M4" s="87" t="s">
        <v>6487</v>
      </c>
      <c r="N4" s="87">
        <v>572.65</v>
      </c>
      <c r="O4" s="87">
        <v>569.14</v>
      </c>
      <c r="P4" s="87">
        <v>-3.50999999999999</v>
      </c>
      <c r="Q4" s="85" t="s">
        <v>6488</v>
      </c>
      <c r="R4" s="86">
        <v>7000</v>
      </c>
      <c r="S4" s="86">
        <v>4008550</v>
      </c>
      <c r="T4" s="73"/>
      <c r="U4" s="77">
        <f>P4*R4</f>
        <v>-24569.9999999999</v>
      </c>
    </row>
    <row r="5" customHeight="1" spans="1:21">
      <c r="A5" s="73">
        <v>2</v>
      </c>
      <c r="B5" s="83" t="s">
        <v>1608</v>
      </c>
      <c r="C5" s="74">
        <v>115.95</v>
      </c>
      <c r="D5" s="74">
        <v>115.94</v>
      </c>
      <c r="E5" s="84">
        <v>-0.0100000000000051</v>
      </c>
      <c r="F5" s="85" t="s">
        <v>1607</v>
      </c>
      <c r="G5" s="86">
        <v>6190.71</v>
      </c>
      <c r="H5" s="86">
        <v>717813</v>
      </c>
      <c r="I5" s="73"/>
      <c r="J5" s="77">
        <f t="shared" ref="J5:J36" si="0">E5*G5</f>
        <v>-61.9071000000316</v>
      </c>
    </row>
    <row r="6" customHeight="1" spans="1:21">
      <c r="A6" s="73">
        <v>3</v>
      </c>
      <c r="B6" s="88" t="s">
        <v>1612</v>
      </c>
      <c r="C6" s="74">
        <v>115.59</v>
      </c>
      <c r="D6" s="74">
        <v>115.58</v>
      </c>
      <c r="E6" s="84">
        <v>-0.0100000000000051</v>
      </c>
      <c r="F6" s="85" t="s">
        <v>1611</v>
      </c>
      <c r="G6" s="86">
        <v>5600</v>
      </c>
      <c r="H6" s="86">
        <v>647304</v>
      </c>
      <c r="I6" s="73"/>
      <c r="J6" s="77">
        <f t="shared" si="0"/>
        <v>-56.0000000000286</v>
      </c>
    </row>
    <row r="7" customHeight="1" spans="1:21">
      <c r="A7" s="73">
        <v>4</v>
      </c>
      <c r="B7" s="88" t="s">
        <v>1619</v>
      </c>
      <c r="C7" s="74">
        <v>115.95</v>
      </c>
      <c r="D7" s="74">
        <v>115.94</v>
      </c>
      <c r="E7" s="84">
        <v>-0.0100000000000051</v>
      </c>
      <c r="F7" s="85" t="s">
        <v>1617</v>
      </c>
      <c r="G7" s="86">
        <v>5373.61</v>
      </c>
      <c r="H7" s="86">
        <v>623070</v>
      </c>
      <c r="I7" s="73"/>
      <c r="J7" s="77">
        <f t="shared" si="0"/>
        <v>-53.7361000000274</v>
      </c>
    </row>
    <row r="8" customHeight="1" spans="1:21">
      <c r="A8" s="73">
        <v>5</v>
      </c>
      <c r="B8" s="88" t="s">
        <v>1630</v>
      </c>
      <c r="C8" s="74">
        <v>115.59</v>
      </c>
      <c r="D8" s="74">
        <v>115.58</v>
      </c>
      <c r="E8" s="84">
        <v>-0.0100000000000051</v>
      </c>
      <c r="F8" s="85" t="s">
        <v>1628</v>
      </c>
      <c r="G8" s="86">
        <v>5382.96</v>
      </c>
      <c r="H8" s="86">
        <v>622216</v>
      </c>
      <c r="I8" s="73"/>
      <c r="J8" s="77">
        <f t="shared" si="0"/>
        <v>-53.8296000000275</v>
      </c>
    </row>
    <row r="9" customHeight="1" spans="1:21">
      <c r="A9" s="73">
        <v>6</v>
      </c>
      <c r="B9" s="88" t="s">
        <v>1639</v>
      </c>
      <c r="C9" s="74">
        <v>115.95</v>
      </c>
      <c r="D9" s="74">
        <v>115.94</v>
      </c>
      <c r="E9" s="84">
        <v>-0.0100000000000051</v>
      </c>
      <c r="F9" s="85" t="s">
        <v>1637</v>
      </c>
      <c r="G9" s="86">
        <v>5167.38</v>
      </c>
      <c r="H9" s="86">
        <v>599158</v>
      </c>
      <c r="I9" s="73"/>
      <c r="J9" s="77">
        <f t="shared" si="0"/>
        <v>-51.6738000000264</v>
      </c>
    </row>
    <row r="10" customHeight="1" spans="1:21">
      <c r="A10" s="73">
        <v>7</v>
      </c>
      <c r="B10" s="83" t="s">
        <v>1649</v>
      </c>
      <c r="C10" s="74">
        <v>115.59</v>
      </c>
      <c r="D10" s="74">
        <v>115.58</v>
      </c>
      <c r="E10" s="84">
        <v>-0.0100000000000051</v>
      </c>
      <c r="F10" s="85" t="s">
        <v>6489</v>
      </c>
      <c r="G10" s="86">
        <v>5176.38</v>
      </c>
      <c r="H10" s="86">
        <v>598338</v>
      </c>
      <c r="I10" s="73"/>
      <c r="J10" s="77">
        <f t="shared" si="0"/>
        <v>-51.7638000000264</v>
      </c>
    </row>
    <row r="11" customHeight="1" spans="1:21">
      <c r="A11" s="73">
        <v>8</v>
      </c>
      <c r="B11" s="88" t="s">
        <v>1657</v>
      </c>
      <c r="C11" s="74">
        <v>115.95</v>
      </c>
      <c r="D11" s="74">
        <v>115.94</v>
      </c>
      <c r="E11" s="84">
        <v>-0.0100000000000051</v>
      </c>
      <c r="F11" s="85" t="s">
        <v>1656</v>
      </c>
      <c r="G11" s="86">
        <v>5338.51</v>
      </c>
      <c r="H11" s="86">
        <v>619000</v>
      </c>
      <c r="I11" s="73"/>
      <c r="J11" s="77">
        <f t="shared" si="0"/>
        <v>-53.3851000000272</v>
      </c>
    </row>
    <row r="12" customHeight="1" spans="1:21">
      <c r="A12" s="73">
        <v>9</v>
      </c>
      <c r="B12" s="83" t="s">
        <v>1662</v>
      </c>
      <c r="C12" s="74">
        <v>115.59</v>
      </c>
      <c r="D12" s="74">
        <v>115.58</v>
      </c>
      <c r="E12" s="84">
        <v>-0.0100000000000051</v>
      </c>
      <c r="F12" s="85" t="s">
        <v>1661</v>
      </c>
      <c r="G12" s="86">
        <v>5226.385</v>
      </c>
      <c r="H12" s="86">
        <v>604118</v>
      </c>
      <c r="I12" s="73"/>
      <c r="J12" s="77">
        <f t="shared" si="0"/>
        <v>-52.2638500000267</v>
      </c>
    </row>
    <row r="13" customHeight="1" spans="1:21">
      <c r="A13" s="73">
        <v>10</v>
      </c>
      <c r="B13" s="88" t="s">
        <v>1670</v>
      </c>
      <c r="C13" s="74">
        <v>115.95</v>
      </c>
      <c r="D13" s="74">
        <v>115.94</v>
      </c>
      <c r="E13" s="84">
        <v>-0.0100000000000051</v>
      </c>
      <c r="F13" s="85" t="s">
        <v>1669</v>
      </c>
      <c r="G13" s="86">
        <v>5424.75</v>
      </c>
      <c r="H13" s="86">
        <v>629000</v>
      </c>
      <c r="I13" s="73"/>
      <c r="J13" s="77">
        <f t="shared" si="0"/>
        <v>-54.2475000000277</v>
      </c>
    </row>
    <row r="14" customHeight="1" spans="1:21">
      <c r="A14" s="73">
        <v>11</v>
      </c>
      <c r="B14" s="83" t="s">
        <v>1678</v>
      </c>
      <c r="C14" s="74">
        <v>115.59</v>
      </c>
      <c r="D14" s="74">
        <v>115.58</v>
      </c>
      <c r="E14" s="84">
        <v>-0.0100000000000051</v>
      </c>
      <c r="F14" s="85" t="s">
        <v>1676</v>
      </c>
      <c r="G14" s="86">
        <v>5271.38</v>
      </c>
      <c r="H14" s="86">
        <v>609319</v>
      </c>
      <c r="I14" s="73"/>
      <c r="J14" s="77">
        <f t="shared" si="0"/>
        <v>-52.7138000000269</v>
      </c>
    </row>
    <row r="15" customHeight="1" spans="1:21">
      <c r="A15" s="73">
        <v>12</v>
      </c>
      <c r="B15" s="88" t="s">
        <v>1686</v>
      </c>
      <c r="C15" s="74">
        <v>115.95</v>
      </c>
      <c r="D15" s="74">
        <v>115.94</v>
      </c>
      <c r="E15" s="84">
        <v>-0.0100000000000051</v>
      </c>
      <c r="F15" s="85" t="s">
        <v>1684</v>
      </c>
      <c r="G15" s="89">
        <v>5285.38</v>
      </c>
      <c r="H15" s="86">
        <v>612840</v>
      </c>
      <c r="I15" s="73"/>
      <c r="J15" s="77">
        <f t="shared" si="0"/>
        <v>-52.853800000027</v>
      </c>
    </row>
    <row r="16" customHeight="1" spans="1:21">
      <c r="A16" s="73">
        <v>13</v>
      </c>
      <c r="B16" s="83" t="s">
        <v>1696</v>
      </c>
      <c r="C16" s="74">
        <v>115.59</v>
      </c>
      <c r="D16" s="74">
        <v>115.58</v>
      </c>
      <c r="E16" s="84">
        <v>-0.0100000000000051</v>
      </c>
      <c r="F16" s="85" t="s">
        <v>1694</v>
      </c>
      <c r="G16" s="86">
        <v>5316.385</v>
      </c>
      <c r="H16" s="86">
        <v>614521</v>
      </c>
      <c r="I16" s="73"/>
      <c r="J16" s="77">
        <f t="shared" si="0"/>
        <v>-53.1638500000271</v>
      </c>
    </row>
    <row r="17" customHeight="1" spans="1:10">
      <c r="A17" s="73">
        <v>14</v>
      </c>
      <c r="B17" s="88" t="s">
        <v>1703</v>
      </c>
      <c r="C17" s="74">
        <v>115.95</v>
      </c>
      <c r="D17" s="74">
        <v>115.94</v>
      </c>
      <c r="E17" s="84">
        <v>-0.0100000000000051</v>
      </c>
      <c r="F17" s="85" t="s">
        <v>1702</v>
      </c>
      <c r="G17" s="86">
        <v>5412.4</v>
      </c>
      <c r="H17" s="86">
        <v>627568</v>
      </c>
      <c r="I17" s="73"/>
      <c r="J17" s="77">
        <f t="shared" si="0"/>
        <v>-54.1240000000276</v>
      </c>
    </row>
    <row r="18" customHeight="1" spans="1:10">
      <c r="A18" s="73">
        <v>15</v>
      </c>
      <c r="B18" s="83" t="s">
        <v>1709</v>
      </c>
      <c r="C18" s="74">
        <v>115.59</v>
      </c>
      <c r="D18" s="74">
        <v>115.58</v>
      </c>
      <c r="E18" s="84">
        <v>-0.0100000000000051</v>
      </c>
      <c r="F18" s="85" t="s">
        <v>1707</v>
      </c>
      <c r="G18" s="86">
        <v>5341.38</v>
      </c>
      <c r="H18" s="86">
        <v>617410</v>
      </c>
      <c r="I18" s="73"/>
      <c r="J18" s="77">
        <f t="shared" si="0"/>
        <v>-53.4138000000272</v>
      </c>
    </row>
    <row r="19" customHeight="1" spans="1:10">
      <c r="A19" s="73">
        <v>16</v>
      </c>
      <c r="B19" s="88" t="s">
        <v>1717</v>
      </c>
      <c r="C19" s="74">
        <v>115.95</v>
      </c>
      <c r="D19" s="74">
        <v>115.94</v>
      </c>
      <c r="E19" s="84">
        <v>-0.0100000000000051</v>
      </c>
      <c r="F19" s="85" t="s">
        <v>6490</v>
      </c>
      <c r="G19" s="86">
        <v>5377.385</v>
      </c>
      <c r="H19" s="86">
        <v>623508</v>
      </c>
      <c r="I19" s="73"/>
      <c r="J19" s="77">
        <f t="shared" si="0"/>
        <v>-53.7738500000274</v>
      </c>
    </row>
    <row r="20" customHeight="1" spans="1:10">
      <c r="A20" s="73">
        <v>17</v>
      </c>
      <c r="B20" s="83" t="s">
        <v>1724</v>
      </c>
      <c r="C20" s="74">
        <v>115.59</v>
      </c>
      <c r="D20" s="74">
        <v>115.58</v>
      </c>
      <c r="E20" s="84">
        <v>-0.0100000000000051</v>
      </c>
      <c r="F20" s="85" t="s">
        <v>1566</v>
      </c>
      <c r="G20" s="86">
        <v>5534.04</v>
      </c>
      <c r="H20" s="86">
        <v>639680</v>
      </c>
      <c r="I20" s="73"/>
      <c r="J20" s="77">
        <f t="shared" si="0"/>
        <v>-55.3404000000282</v>
      </c>
    </row>
    <row r="21" customHeight="1" spans="1:10">
      <c r="A21" s="73">
        <v>18</v>
      </c>
      <c r="B21" s="88" t="s">
        <v>1729</v>
      </c>
      <c r="C21" s="74">
        <v>115.95</v>
      </c>
      <c r="D21" s="74">
        <v>115.94</v>
      </c>
      <c r="E21" s="84">
        <v>-0.0100000000000051</v>
      </c>
      <c r="F21" s="85" t="s">
        <v>1728</v>
      </c>
      <c r="G21" s="86">
        <v>5528.81594017622</v>
      </c>
      <c r="H21" s="86">
        <v>641066</v>
      </c>
      <c r="I21" s="73"/>
      <c r="J21" s="77">
        <f t="shared" si="0"/>
        <v>-55.2881594017904</v>
      </c>
    </row>
    <row r="22" customHeight="1" spans="1:10">
      <c r="A22" s="73">
        <v>19</v>
      </c>
      <c r="B22" s="88" t="s">
        <v>1734</v>
      </c>
      <c r="C22" s="74">
        <v>115.59</v>
      </c>
      <c r="D22" s="74">
        <v>115.58</v>
      </c>
      <c r="E22" s="84">
        <v>-0.0100000000000051</v>
      </c>
      <c r="F22" s="90" t="s">
        <v>6491</v>
      </c>
      <c r="G22" s="86">
        <v>5406.385</v>
      </c>
      <c r="H22" s="86">
        <v>624924</v>
      </c>
      <c r="I22" s="73"/>
      <c r="J22" s="77">
        <f t="shared" si="0"/>
        <v>-54.0638500000276</v>
      </c>
    </row>
    <row r="23" customHeight="1" spans="1:10">
      <c r="A23" s="73">
        <v>20</v>
      </c>
      <c r="B23" s="88" t="s">
        <v>1743</v>
      </c>
      <c r="C23" s="74">
        <v>115.95</v>
      </c>
      <c r="D23" s="74">
        <v>115.94</v>
      </c>
      <c r="E23" s="84">
        <v>-0.0100000000000051</v>
      </c>
      <c r="F23" s="85" t="s">
        <v>6492</v>
      </c>
      <c r="G23" s="86">
        <v>6560.42</v>
      </c>
      <c r="H23" s="86">
        <v>760681</v>
      </c>
      <c r="I23" s="73"/>
      <c r="J23" s="77">
        <f t="shared" si="0"/>
        <v>-65.6042000000335</v>
      </c>
    </row>
    <row r="24" customHeight="1" spans="1:10">
      <c r="A24" s="73">
        <v>21</v>
      </c>
      <c r="B24" s="83" t="s">
        <v>1751</v>
      </c>
      <c r="C24" s="74">
        <v>115.59</v>
      </c>
      <c r="D24" s="74">
        <v>115.58</v>
      </c>
      <c r="E24" s="84">
        <v>-0.0100000000000051</v>
      </c>
      <c r="F24" s="85" t="s">
        <v>1749</v>
      </c>
      <c r="G24" s="86">
        <v>6630</v>
      </c>
      <c r="H24" s="86">
        <v>766362</v>
      </c>
      <c r="I24" s="73"/>
      <c r="J24" s="77">
        <f t="shared" si="0"/>
        <v>-66.3000000000338</v>
      </c>
    </row>
    <row r="25" customHeight="1" spans="1:10">
      <c r="A25" s="73">
        <v>22</v>
      </c>
      <c r="B25" s="83" t="s">
        <v>1766</v>
      </c>
      <c r="C25" s="74">
        <v>116.68</v>
      </c>
      <c r="D25" s="74">
        <v>116.67</v>
      </c>
      <c r="E25" s="84">
        <v>-0.0100000000000051</v>
      </c>
      <c r="F25" s="85" t="s">
        <v>6493</v>
      </c>
      <c r="G25" s="86">
        <v>8057</v>
      </c>
      <c r="H25" s="86">
        <v>940091</v>
      </c>
      <c r="I25" s="73"/>
      <c r="J25" s="77">
        <f t="shared" si="0"/>
        <v>-80.5700000000411</v>
      </c>
    </row>
    <row r="26" customHeight="1" spans="1:10">
      <c r="A26" s="73">
        <v>23</v>
      </c>
      <c r="B26" s="88" t="s">
        <v>1773</v>
      </c>
      <c r="C26" s="74">
        <v>115.59</v>
      </c>
      <c r="D26" s="74">
        <v>115.58</v>
      </c>
      <c r="E26" s="84">
        <v>-0.0100000000000051</v>
      </c>
      <c r="F26" s="85" t="s">
        <v>1772</v>
      </c>
      <c r="G26" s="86">
        <v>5680</v>
      </c>
      <c r="H26" s="86">
        <v>656551</v>
      </c>
      <c r="I26" s="73"/>
      <c r="J26" s="77">
        <f t="shared" si="0"/>
        <v>-56.800000000029</v>
      </c>
    </row>
    <row r="27" customHeight="1" spans="1:10">
      <c r="A27" s="73">
        <v>24</v>
      </c>
      <c r="B27" s="83" t="s">
        <v>1780</v>
      </c>
      <c r="C27" s="74">
        <v>115.59</v>
      </c>
      <c r="D27" s="74">
        <v>115.58</v>
      </c>
      <c r="E27" s="84">
        <v>-0.0100000000000051</v>
      </c>
      <c r="F27" s="85" t="s">
        <v>1778</v>
      </c>
      <c r="G27" s="86">
        <v>5623.32</v>
      </c>
      <c r="H27" s="86">
        <v>650000</v>
      </c>
      <c r="I27" s="73"/>
      <c r="J27" s="77">
        <f t="shared" si="0"/>
        <v>-56.2332000000287</v>
      </c>
    </row>
    <row r="28" customHeight="1" spans="1:10">
      <c r="A28" s="73">
        <v>25</v>
      </c>
      <c r="B28" s="88" t="s">
        <v>1785</v>
      </c>
      <c r="C28" s="74">
        <v>115.59</v>
      </c>
      <c r="D28" s="74">
        <v>115.58</v>
      </c>
      <c r="E28" s="84">
        <v>-0.0100000000000051</v>
      </c>
      <c r="F28" s="85" t="s">
        <v>1572</v>
      </c>
      <c r="G28" s="86">
        <v>5363.79</v>
      </c>
      <c r="H28" s="86">
        <v>620000</v>
      </c>
      <c r="I28" s="73"/>
      <c r="J28" s="77">
        <f t="shared" si="0"/>
        <v>-53.6379000000274</v>
      </c>
    </row>
    <row r="29" customHeight="1" spans="1:10">
      <c r="A29" s="73">
        <v>26</v>
      </c>
      <c r="B29" s="83" t="s">
        <v>1791</v>
      </c>
      <c r="C29" s="74">
        <v>115.59</v>
      </c>
      <c r="D29" s="74">
        <v>115.58</v>
      </c>
      <c r="E29" s="84">
        <v>-0.0100000000000051</v>
      </c>
      <c r="F29" s="85" t="s">
        <v>6494</v>
      </c>
      <c r="G29" s="86">
        <v>5284.66</v>
      </c>
      <c r="H29" s="86">
        <v>610854</v>
      </c>
      <c r="I29" s="73"/>
      <c r="J29" s="77">
        <f t="shared" si="0"/>
        <v>-52.846600000027</v>
      </c>
    </row>
    <row r="30" customHeight="1" spans="1:10">
      <c r="A30" s="73">
        <v>27</v>
      </c>
      <c r="B30" s="88" t="s">
        <v>1798</v>
      </c>
      <c r="C30" s="74">
        <v>115.59</v>
      </c>
      <c r="D30" s="74">
        <v>115.58</v>
      </c>
      <c r="E30" s="84">
        <v>-0.0100000000000051</v>
      </c>
      <c r="F30" s="85" t="s">
        <v>1796</v>
      </c>
      <c r="G30" s="86">
        <v>5182.385</v>
      </c>
      <c r="H30" s="86">
        <v>599032</v>
      </c>
      <c r="I30" s="73"/>
      <c r="J30" s="77">
        <f t="shared" si="0"/>
        <v>-51.8238500000264</v>
      </c>
    </row>
    <row r="31" customHeight="1" spans="1:10">
      <c r="A31" s="73">
        <v>28</v>
      </c>
      <c r="B31" s="83" t="s">
        <v>1806</v>
      </c>
      <c r="C31" s="74">
        <v>115.59</v>
      </c>
      <c r="D31" s="74">
        <v>115.58</v>
      </c>
      <c r="E31" s="84">
        <v>-0.0100000000000051</v>
      </c>
      <c r="F31" s="85" t="s">
        <v>1576</v>
      </c>
      <c r="G31" s="86">
        <v>5380</v>
      </c>
      <c r="H31" s="86">
        <v>621874</v>
      </c>
      <c r="I31" s="73"/>
      <c r="J31" s="77">
        <f t="shared" si="0"/>
        <v>-53.8000000000274</v>
      </c>
    </row>
    <row r="32" customHeight="1" spans="1:10">
      <c r="A32" s="73">
        <v>29</v>
      </c>
      <c r="B32" s="88" t="s">
        <v>1814</v>
      </c>
      <c r="C32" s="74">
        <v>115.59</v>
      </c>
      <c r="D32" s="74">
        <v>115.58</v>
      </c>
      <c r="E32" s="84">
        <v>-0.0100000000000051</v>
      </c>
      <c r="F32" s="85" t="s">
        <v>1579</v>
      </c>
      <c r="G32" s="86">
        <v>5232.38</v>
      </c>
      <c r="H32" s="86">
        <v>604811</v>
      </c>
      <c r="I32" s="73"/>
      <c r="J32" s="77">
        <f t="shared" si="0"/>
        <v>-52.3238000000267</v>
      </c>
    </row>
    <row r="33" customHeight="1" spans="1:10">
      <c r="A33" s="73">
        <v>30</v>
      </c>
      <c r="B33" s="83" t="s">
        <v>1821</v>
      </c>
      <c r="C33" s="74">
        <v>115.59</v>
      </c>
      <c r="D33" s="74">
        <v>115.58</v>
      </c>
      <c r="E33" s="84">
        <v>-0.0100000000000051</v>
      </c>
      <c r="F33" s="85" t="s">
        <v>6495</v>
      </c>
      <c r="G33" s="86">
        <v>5238.385</v>
      </c>
      <c r="H33" s="86">
        <v>605505</v>
      </c>
      <c r="I33" s="73"/>
      <c r="J33" s="77">
        <f t="shared" si="0"/>
        <v>-52.3838500000267</v>
      </c>
    </row>
    <row r="34" customHeight="1" spans="1:10">
      <c r="A34" s="73">
        <v>31</v>
      </c>
      <c r="B34" s="88" t="s">
        <v>1829</v>
      </c>
      <c r="C34" s="74">
        <v>115.59</v>
      </c>
      <c r="D34" s="74">
        <v>115.58</v>
      </c>
      <c r="E34" s="84">
        <v>-0.0100000000000051</v>
      </c>
      <c r="F34" s="85" t="s">
        <v>1584</v>
      </c>
      <c r="G34" s="86">
        <v>5277.385</v>
      </c>
      <c r="H34" s="86">
        <v>610013</v>
      </c>
      <c r="I34" s="73"/>
      <c r="J34" s="77">
        <f t="shared" si="0"/>
        <v>-52.7738500000269</v>
      </c>
    </row>
    <row r="35" customHeight="1" spans="1:10">
      <c r="A35" s="73">
        <v>32</v>
      </c>
      <c r="B35" s="83" t="s">
        <v>1836</v>
      </c>
      <c r="C35" s="74">
        <v>115.59</v>
      </c>
      <c r="D35" s="74">
        <v>115.58</v>
      </c>
      <c r="E35" s="84">
        <v>-0.0100000000000051</v>
      </c>
      <c r="F35" s="85" t="s">
        <v>1586</v>
      </c>
      <c r="G35" s="86">
        <v>5283.385</v>
      </c>
      <c r="H35" s="86">
        <v>610706</v>
      </c>
      <c r="I35" s="73"/>
      <c r="J35" s="77">
        <f t="shared" si="0"/>
        <v>-52.8338500000269</v>
      </c>
    </row>
    <row r="36" customHeight="1" spans="1:10">
      <c r="A36" s="73">
        <v>33</v>
      </c>
      <c r="B36" s="88" t="s">
        <v>1844</v>
      </c>
      <c r="C36" s="74">
        <v>115.59</v>
      </c>
      <c r="D36" s="74">
        <v>115.58</v>
      </c>
      <c r="E36" s="84">
        <v>-0.0100000000000051</v>
      </c>
      <c r="F36" s="85" t="s">
        <v>1842</v>
      </c>
      <c r="G36" s="86">
        <v>5452.23</v>
      </c>
      <c r="H36" s="86">
        <v>630223</v>
      </c>
      <c r="I36" s="73"/>
      <c r="J36" s="77">
        <f t="shared" si="0"/>
        <v>-54.5223000000278</v>
      </c>
    </row>
    <row r="37" customHeight="1" spans="1:10">
      <c r="A37" s="73">
        <v>34</v>
      </c>
      <c r="B37" s="88" t="s">
        <v>1851</v>
      </c>
      <c r="C37" s="74">
        <v>115.59</v>
      </c>
      <c r="D37" s="74">
        <v>115.58</v>
      </c>
      <c r="E37" s="84">
        <v>-0.0100000000000051</v>
      </c>
      <c r="F37" s="85" t="s">
        <v>1849</v>
      </c>
      <c r="G37" s="86">
        <v>5328.385</v>
      </c>
      <c r="H37" s="86">
        <v>615908</v>
      </c>
      <c r="I37" s="73"/>
      <c r="J37" s="77">
        <f t="shared" ref="J37:J56" si="1">E37*G37</f>
        <v>-53.2838500000272</v>
      </c>
    </row>
    <row r="38" customHeight="1" spans="1:10">
      <c r="A38" s="73">
        <v>35</v>
      </c>
      <c r="B38" s="83" t="s">
        <v>1859</v>
      </c>
      <c r="C38" s="74">
        <v>115.59</v>
      </c>
      <c r="D38" s="74">
        <v>115.58</v>
      </c>
      <c r="E38" s="84">
        <v>-0.0100000000000051</v>
      </c>
      <c r="F38" s="85" t="s">
        <v>1857</v>
      </c>
      <c r="G38" s="86">
        <v>5347.38</v>
      </c>
      <c r="H38" s="86">
        <v>618104</v>
      </c>
      <c r="I38" s="73"/>
      <c r="J38" s="77">
        <f t="shared" si="1"/>
        <v>-53.4738000000273</v>
      </c>
    </row>
    <row r="39" customHeight="1" spans="1:10">
      <c r="A39" s="73">
        <v>36</v>
      </c>
      <c r="B39" s="88" t="s">
        <v>1868</v>
      </c>
      <c r="C39" s="74">
        <v>115.59</v>
      </c>
      <c r="D39" s="74">
        <v>115.58</v>
      </c>
      <c r="E39" s="84">
        <v>-0.0100000000000051</v>
      </c>
      <c r="F39" s="85" t="s">
        <v>1866</v>
      </c>
      <c r="G39" s="86">
        <v>5353.38</v>
      </c>
      <c r="H39" s="86">
        <v>618797</v>
      </c>
      <c r="I39" s="73"/>
      <c r="J39" s="77">
        <f t="shared" si="1"/>
        <v>-53.5338000000273</v>
      </c>
    </row>
    <row r="40" customHeight="1" spans="1:10">
      <c r="A40" s="73">
        <v>37</v>
      </c>
      <c r="B40" s="83" t="s">
        <v>1877</v>
      </c>
      <c r="C40" s="74">
        <v>115.59</v>
      </c>
      <c r="D40" s="74">
        <v>115.58</v>
      </c>
      <c r="E40" s="84">
        <v>-0.0100000000000051</v>
      </c>
      <c r="F40" s="85" t="s">
        <v>6496</v>
      </c>
      <c r="G40" s="86">
        <v>5392.38</v>
      </c>
      <c r="H40" s="86">
        <v>623305</v>
      </c>
      <c r="I40" s="73"/>
      <c r="J40" s="77">
        <f t="shared" si="1"/>
        <v>-53.9238000000275</v>
      </c>
    </row>
    <row r="41" customHeight="1" spans="1:10">
      <c r="A41" s="73">
        <v>38</v>
      </c>
      <c r="B41" s="88" t="s">
        <v>1887</v>
      </c>
      <c r="C41" s="74">
        <v>115.59</v>
      </c>
      <c r="D41" s="74">
        <v>115.58</v>
      </c>
      <c r="E41" s="84">
        <v>-0.0100000000000051</v>
      </c>
      <c r="F41" s="85" t="s">
        <v>1885</v>
      </c>
      <c r="G41" s="86">
        <v>5398.385</v>
      </c>
      <c r="H41" s="86">
        <v>623999</v>
      </c>
      <c r="I41" s="73"/>
      <c r="J41" s="77">
        <f t="shared" si="1"/>
        <v>-53.9838500000275</v>
      </c>
    </row>
    <row r="42" customHeight="1" spans="1:10">
      <c r="A42" s="73">
        <v>39</v>
      </c>
      <c r="B42" s="83" t="s">
        <v>1896</v>
      </c>
      <c r="C42" s="74">
        <v>115.59</v>
      </c>
      <c r="D42" s="74">
        <v>115.58</v>
      </c>
      <c r="E42" s="84">
        <v>-0.0100000000000051</v>
      </c>
      <c r="F42" s="85" t="s">
        <v>1894</v>
      </c>
      <c r="G42" s="86">
        <v>5549.785</v>
      </c>
      <c r="H42" s="86">
        <v>641500</v>
      </c>
      <c r="I42" s="73"/>
      <c r="J42" s="77">
        <f t="shared" si="1"/>
        <v>-55.4978500000283</v>
      </c>
    </row>
    <row r="43" customHeight="1" spans="1:10">
      <c r="A43" s="73">
        <v>40</v>
      </c>
      <c r="B43" s="88" t="s">
        <v>1904</v>
      </c>
      <c r="C43" s="74">
        <v>115.59</v>
      </c>
      <c r="D43" s="74">
        <v>115.58</v>
      </c>
      <c r="E43" s="84">
        <v>-0.0100000000000051</v>
      </c>
      <c r="F43" s="85" t="s">
        <v>1581</v>
      </c>
      <c r="G43" s="86">
        <v>5500</v>
      </c>
      <c r="H43" s="86">
        <v>635745</v>
      </c>
      <c r="I43" s="73"/>
      <c r="J43" s="77">
        <f t="shared" si="1"/>
        <v>-55.0000000000281</v>
      </c>
    </row>
    <row r="44" customHeight="1" spans="1:10">
      <c r="A44" s="73">
        <v>41</v>
      </c>
      <c r="B44" s="83" t="s">
        <v>1913</v>
      </c>
      <c r="C44" s="74">
        <v>115.59</v>
      </c>
      <c r="D44" s="74">
        <v>115.58</v>
      </c>
      <c r="E44" s="84">
        <v>-0.0100000000000051</v>
      </c>
      <c r="F44" s="85" t="s">
        <v>6497</v>
      </c>
      <c r="G44" s="86">
        <v>6572.42</v>
      </c>
      <c r="H44" s="86">
        <v>759706</v>
      </c>
      <c r="I44" s="73"/>
      <c r="J44" s="77">
        <f t="shared" si="1"/>
        <v>-65.7242000000335</v>
      </c>
    </row>
    <row r="45" customHeight="1" spans="1:10">
      <c r="A45" s="73">
        <v>42</v>
      </c>
      <c r="B45" s="88" t="s">
        <v>1921</v>
      </c>
      <c r="C45" s="74">
        <v>115.59</v>
      </c>
      <c r="D45" s="74">
        <v>115.58</v>
      </c>
      <c r="E45" s="84">
        <v>-0.0100000000000051</v>
      </c>
      <c r="F45" s="85" t="s">
        <v>2110</v>
      </c>
      <c r="G45" s="86">
        <v>6630.42</v>
      </c>
      <c r="H45" s="86">
        <v>766410</v>
      </c>
      <c r="I45" s="73"/>
      <c r="J45" s="77">
        <f t="shared" si="1"/>
        <v>-66.3042000000338</v>
      </c>
    </row>
    <row r="46" customHeight="1" spans="1:10">
      <c r="A46" s="73">
        <v>43</v>
      </c>
      <c r="B46" s="88" t="s">
        <v>1949</v>
      </c>
      <c r="C46" s="84">
        <v>151.49</v>
      </c>
      <c r="D46" s="84">
        <v>151.48</v>
      </c>
      <c r="E46" s="84">
        <v>-0.0100000000000193</v>
      </c>
      <c r="F46" s="85" t="s">
        <v>1947</v>
      </c>
      <c r="G46" s="86">
        <v>5253.73</v>
      </c>
      <c r="H46" s="86">
        <v>795888</v>
      </c>
      <c r="I46" s="73"/>
      <c r="J46" s="77">
        <f t="shared" si="1"/>
        <v>-52.5373000001014</v>
      </c>
    </row>
    <row r="47" customHeight="1" spans="1:10">
      <c r="A47" s="73">
        <v>44</v>
      </c>
      <c r="B47" s="88" t="s">
        <v>1965</v>
      </c>
      <c r="C47" s="84">
        <v>151.49</v>
      </c>
      <c r="D47" s="84">
        <v>151.48</v>
      </c>
      <c r="E47" s="84">
        <v>-0.0100000000000193</v>
      </c>
      <c r="F47" s="85" t="s">
        <v>1967</v>
      </c>
      <c r="G47" s="86">
        <v>5313.88</v>
      </c>
      <c r="H47" s="86">
        <v>805000</v>
      </c>
      <c r="I47" s="73"/>
      <c r="J47" s="77">
        <f t="shared" si="1"/>
        <v>-53.1388000001026</v>
      </c>
    </row>
    <row r="48" customHeight="1" spans="1:10">
      <c r="A48" s="73">
        <v>45</v>
      </c>
      <c r="B48" s="88" t="s">
        <v>1983</v>
      </c>
      <c r="C48" s="84">
        <v>151.49</v>
      </c>
      <c r="D48" s="84">
        <v>151.48</v>
      </c>
      <c r="E48" s="84">
        <v>-0.0100000000000193</v>
      </c>
      <c r="F48" s="85" t="s">
        <v>1982</v>
      </c>
      <c r="G48" s="86">
        <v>5300</v>
      </c>
      <c r="H48" s="86">
        <v>802897</v>
      </c>
      <c r="I48" s="73"/>
      <c r="J48" s="77">
        <f t="shared" si="1"/>
        <v>-53.0000000001023</v>
      </c>
    </row>
    <row r="49" customHeight="1" spans="1:10">
      <c r="A49" s="73">
        <v>46</v>
      </c>
      <c r="B49" s="88" t="s">
        <v>2000</v>
      </c>
      <c r="C49" s="84">
        <v>151.49</v>
      </c>
      <c r="D49" s="84">
        <v>151.48</v>
      </c>
      <c r="E49" s="84">
        <v>-0.0100000000000193</v>
      </c>
      <c r="F49" s="85" t="s">
        <v>1998</v>
      </c>
      <c r="G49" s="86">
        <v>5360</v>
      </c>
      <c r="H49" s="86">
        <v>811986</v>
      </c>
      <c r="I49" s="73"/>
      <c r="J49" s="77">
        <f t="shared" si="1"/>
        <v>-53.6000000001034</v>
      </c>
    </row>
    <row r="50" customHeight="1" spans="1:10">
      <c r="A50" s="73">
        <v>47</v>
      </c>
      <c r="B50" s="88" t="s">
        <v>2016</v>
      </c>
      <c r="C50" s="74">
        <v>151.49</v>
      </c>
      <c r="D50" s="84">
        <v>151.48</v>
      </c>
      <c r="E50" s="84">
        <v>-0.0100000000000193</v>
      </c>
      <c r="F50" s="85" t="s">
        <v>2015</v>
      </c>
      <c r="G50" s="86">
        <v>5175.37</v>
      </c>
      <c r="H50" s="86">
        <v>784017</v>
      </c>
      <c r="I50" s="73"/>
      <c r="J50" s="77">
        <f t="shared" si="1"/>
        <v>-51.7537000000999</v>
      </c>
    </row>
    <row r="51" customHeight="1" spans="1:10">
      <c r="A51" s="73">
        <v>48</v>
      </c>
      <c r="B51" s="88" t="s">
        <v>2031</v>
      </c>
      <c r="C51" s="74">
        <v>151.49</v>
      </c>
      <c r="D51" s="84">
        <v>151.48</v>
      </c>
      <c r="E51" s="84">
        <v>-0.0100000000000193</v>
      </c>
      <c r="F51" s="85" t="s">
        <v>6498</v>
      </c>
      <c r="G51" s="86">
        <v>5412.09</v>
      </c>
      <c r="H51" s="86">
        <v>819878</v>
      </c>
      <c r="I51" s="73"/>
      <c r="J51" s="77">
        <f t="shared" si="1"/>
        <v>-54.1209000001045</v>
      </c>
    </row>
    <row r="52" customHeight="1" spans="1:10">
      <c r="A52" s="73">
        <v>49</v>
      </c>
      <c r="B52" s="88" t="s">
        <v>2045</v>
      </c>
      <c r="C52" s="74">
        <v>151.49</v>
      </c>
      <c r="D52" s="84">
        <v>151.48</v>
      </c>
      <c r="E52" s="84">
        <v>-0.0100000000000193</v>
      </c>
      <c r="F52" s="85" t="s">
        <v>2043</v>
      </c>
      <c r="G52" s="86">
        <v>5460</v>
      </c>
      <c r="H52" s="86">
        <v>827135</v>
      </c>
      <c r="I52" s="73"/>
      <c r="J52" s="77">
        <f t="shared" si="1"/>
        <v>-54.6000000001054</v>
      </c>
    </row>
    <row r="53" customHeight="1" spans="1:10">
      <c r="A53" s="73">
        <v>50</v>
      </c>
      <c r="B53" s="88" t="s">
        <v>2059</v>
      </c>
      <c r="C53" s="74">
        <v>151.49</v>
      </c>
      <c r="D53" s="84">
        <v>151.48</v>
      </c>
      <c r="E53" s="84">
        <v>-0.0100000000000193</v>
      </c>
      <c r="F53" s="85" t="s">
        <v>2058</v>
      </c>
      <c r="G53" s="86">
        <v>5550</v>
      </c>
      <c r="H53" s="86">
        <v>840770</v>
      </c>
      <c r="I53" s="73"/>
      <c r="J53" s="77">
        <f t="shared" si="1"/>
        <v>-55.5000000001071</v>
      </c>
    </row>
    <row r="54" customHeight="1" spans="1:10">
      <c r="A54" s="73">
        <v>51</v>
      </c>
      <c r="B54" s="88" t="s">
        <v>2073</v>
      </c>
      <c r="C54" s="74">
        <v>151.49</v>
      </c>
      <c r="D54" s="84">
        <v>151.48</v>
      </c>
      <c r="E54" s="84">
        <v>-0.0100000000000193</v>
      </c>
      <c r="F54" s="85" t="s">
        <v>2071</v>
      </c>
      <c r="G54" s="86">
        <v>5617.27</v>
      </c>
      <c r="H54" s="86">
        <v>850960</v>
      </c>
      <c r="I54" s="73"/>
      <c r="J54" s="77">
        <f t="shared" si="1"/>
        <v>-56.1727000001084</v>
      </c>
    </row>
    <row r="55" customHeight="1" spans="1:10">
      <c r="A55" s="73">
        <v>52</v>
      </c>
      <c r="B55" s="83" t="s">
        <v>2089</v>
      </c>
      <c r="C55" s="74">
        <v>151.49</v>
      </c>
      <c r="D55" s="84">
        <v>151.48</v>
      </c>
      <c r="E55" s="84">
        <v>-0.0100000000000193</v>
      </c>
      <c r="F55" s="85" t="s">
        <v>1574</v>
      </c>
      <c r="G55" s="86">
        <v>6230</v>
      </c>
      <c r="H55" s="86">
        <v>943783</v>
      </c>
      <c r="I55" s="73"/>
      <c r="J55" s="77">
        <f t="shared" si="1"/>
        <v>-62.3000000001202</v>
      </c>
    </row>
    <row r="56" customHeight="1" spans="1:10">
      <c r="A56" s="73"/>
      <c r="B56" s="87"/>
      <c r="C56" s="87"/>
      <c r="D56" s="87"/>
      <c r="E56" s="87"/>
      <c r="F56" s="90"/>
      <c r="G56" s="91"/>
      <c r="H56" s="91"/>
      <c r="I56" s="73"/>
      <c r="J56" s="77"/>
    </row>
    <row r="57" customHeight="1" spans="1:10">
      <c r="A57" s="92" t="s">
        <v>68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96"/>
      <c r="J57" s="97">
        <f>SUM(J4:J56)</f>
        <v>-2913.94450940402</v>
      </c>
    </row>
    <row r="58" customHeight="1" spans="1:10">
      <c r="B58" s="98"/>
      <c r="C58" s="98"/>
      <c r="D58" s="98"/>
      <c r="E58" s="98"/>
      <c r="F58" s="99"/>
      <c r="G58" s="100"/>
      <c r="H58" s="100"/>
    </row>
    <row r="59" customHeight="1" spans="1:10">
      <c r="B59" s="98"/>
      <c r="C59" s="98"/>
      <c r="D59" s="98"/>
      <c r="E59" s="98"/>
      <c r="F59" s="99"/>
      <c r="G59" s="100"/>
      <c r="H59" s="100"/>
    </row>
    <row r="60" customHeight="1" spans="1:10">
      <c r="B60" s="98"/>
      <c r="C60" s="98"/>
      <c r="D60" s="98"/>
      <c r="E60" s="98"/>
      <c r="F60" s="99"/>
      <c r="G60" s="100"/>
      <c r="H60" s="100"/>
    </row>
    <row r="61" customHeight="1" spans="1:10">
      <c r="B61" s="98"/>
      <c r="C61" s="98"/>
      <c r="D61" s="98"/>
      <c r="E61" s="98"/>
      <c r="F61" s="99"/>
      <c r="G61" s="100"/>
      <c r="H61" s="100"/>
    </row>
    <row r="62" customHeight="1" spans="1:10">
      <c r="B62" s="98"/>
      <c r="C62" s="98"/>
      <c r="D62" s="98"/>
      <c r="E62" s="98"/>
      <c r="F62" s="99"/>
      <c r="G62" s="100"/>
      <c r="H62" s="100"/>
    </row>
    <row r="63" customHeight="1" spans="1:10">
      <c r="B63" s="98"/>
      <c r="C63" s="98"/>
      <c r="D63" s="98"/>
      <c r="E63" s="98"/>
      <c r="F63" s="99"/>
      <c r="G63" s="100"/>
      <c r="H63" s="100"/>
    </row>
    <row r="64" customHeight="1" spans="1:10">
      <c r="B64" s="98"/>
      <c r="C64" s="98"/>
      <c r="D64" s="98"/>
      <c r="E64" s="98"/>
      <c r="F64" s="99"/>
      <c r="G64" s="100"/>
      <c r="H64" s="100"/>
    </row>
    <row r="65" customHeight="1" spans="2:8">
      <c r="B65" s="98"/>
      <c r="C65" s="98"/>
      <c r="D65" s="98"/>
      <c r="E65" s="98"/>
      <c r="F65" s="99"/>
      <c r="G65" s="100"/>
      <c r="H65" s="100"/>
    </row>
    <row r="66" customHeight="1" spans="2:8">
      <c r="B66" s="98"/>
      <c r="C66" s="98"/>
      <c r="D66" s="98"/>
      <c r="E66" s="98"/>
      <c r="F66" s="99"/>
      <c r="G66" s="100"/>
      <c r="H66" s="100"/>
    </row>
    <row r="67" customHeight="1" spans="2:8">
      <c r="B67" s="98"/>
      <c r="C67" s="98"/>
      <c r="D67" s="98"/>
      <c r="E67" s="98"/>
      <c r="F67" s="99"/>
      <c r="G67" s="100"/>
      <c r="H67" s="100"/>
    </row>
    <row r="68" customHeight="1" spans="2:8">
      <c r="B68" s="98"/>
      <c r="C68" s="98"/>
      <c r="D68" s="98"/>
      <c r="E68" s="98"/>
      <c r="F68" s="99"/>
      <c r="G68" s="100"/>
      <c r="H68" s="100"/>
    </row>
    <row r="69" customHeight="1" spans="2:8">
      <c r="B69" s="98"/>
      <c r="C69" s="98"/>
      <c r="D69" s="98"/>
      <c r="E69" s="98"/>
      <c r="F69" s="99"/>
      <c r="G69" s="100"/>
      <c r="H69" s="100"/>
    </row>
    <row r="70" customHeight="1" spans="2:8">
      <c r="B70" s="98"/>
      <c r="C70" s="98"/>
      <c r="D70" s="98"/>
      <c r="E70" s="98"/>
      <c r="F70" s="99"/>
      <c r="G70" s="100"/>
      <c r="H70" s="100"/>
    </row>
    <row r="71" customHeight="1" spans="2:8">
      <c r="B71" s="98"/>
      <c r="C71" s="98"/>
      <c r="D71" s="98"/>
      <c r="E71" s="98"/>
      <c r="F71" s="99"/>
      <c r="G71" s="100"/>
      <c r="H71" s="100"/>
    </row>
    <row r="72" customHeight="1" spans="2:8">
      <c r="B72" s="98"/>
      <c r="C72" s="98"/>
      <c r="D72" s="98"/>
      <c r="E72" s="98"/>
      <c r="F72" s="99"/>
      <c r="G72" s="100"/>
      <c r="H72" s="100"/>
    </row>
    <row r="73" customHeight="1" spans="2:8">
      <c r="B73" s="98"/>
      <c r="C73" s="98"/>
      <c r="D73" s="98"/>
      <c r="E73" s="98"/>
      <c r="F73" s="99"/>
      <c r="G73" s="100"/>
      <c r="H73" s="100"/>
    </row>
    <row r="74" customHeight="1" spans="2:8">
      <c r="B74" s="98"/>
      <c r="C74" s="98"/>
      <c r="D74" s="98"/>
      <c r="E74" s="98"/>
      <c r="F74" s="99"/>
      <c r="G74" s="100"/>
      <c r="H74" s="100"/>
    </row>
    <row r="75" customHeight="1" spans="2:8">
      <c r="B75" s="98"/>
      <c r="C75" s="98"/>
      <c r="D75" s="98"/>
      <c r="E75" s="98"/>
      <c r="F75" s="99"/>
      <c r="G75" s="100"/>
      <c r="H75" s="100"/>
    </row>
    <row r="76" customHeight="1" spans="2:8">
      <c r="B76" s="98"/>
      <c r="C76" s="98"/>
      <c r="D76" s="98"/>
      <c r="E76" s="98"/>
      <c r="F76" s="99"/>
      <c r="G76" s="100"/>
      <c r="H76" s="100"/>
    </row>
    <row r="77" customHeight="1" spans="2:8">
      <c r="B77" s="98"/>
      <c r="C77" s="98"/>
      <c r="D77" s="98"/>
      <c r="E77" s="98"/>
      <c r="F77" s="99"/>
      <c r="G77" s="100"/>
      <c r="H77" s="100"/>
    </row>
    <row r="78" customHeight="1" spans="2:8">
      <c r="B78" s="98"/>
      <c r="C78" s="98"/>
      <c r="D78" s="98"/>
      <c r="E78" s="98"/>
      <c r="F78" s="99"/>
      <c r="G78" s="100"/>
      <c r="H78" s="100"/>
    </row>
    <row r="79" customHeight="1" spans="2:8">
      <c r="B79" s="98"/>
      <c r="C79" s="98"/>
      <c r="D79" s="98"/>
      <c r="E79" s="98"/>
      <c r="F79" s="99"/>
      <c r="G79" s="100"/>
      <c r="H79" s="100"/>
    </row>
    <row r="80" customHeight="1" spans="2:8">
      <c r="B80" s="98"/>
      <c r="C80" s="98"/>
      <c r="D80" s="98"/>
      <c r="E80" s="98"/>
      <c r="F80" s="99"/>
      <c r="G80" s="100"/>
      <c r="H80" s="100"/>
    </row>
    <row r="81" customHeight="1" spans="2:8">
      <c r="B81" s="98"/>
      <c r="C81" s="98"/>
      <c r="D81" s="98"/>
      <c r="E81" s="98"/>
      <c r="F81" s="99"/>
      <c r="G81" s="100"/>
      <c r="H81" s="100"/>
    </row>
    <row r="82" customHeight="1" spans="2:8">
      <c r="B82" s="98"/>
      <c r="C82" s="98"/>
      <c r="D82" s="98"/>
      <c r="E82" s="98"/>
      <c r="F82" s="99"/>
      <c r="G82" s="100"/>
      <c r="H82" s="100"/>
    </row>
    <row r="83" customHeight="1" spans="2:8">
      <c r="B83" s="98"/>
      <c r="C83" s="98"/>
      <c r="D83" s="98"/>
      <c r="E83" s="98"/>
      <c r="F83" s="99"/>
      <c r="G83" s="100"/>
      <c r="H83" s="100"/>
    </row>
    <row r="84" customHeight="1" spans="2:8">
      <c r="B84" s="98"/>
      <c r="C84" s="98"/>
      <c r="D84" s="98"/>
      <c r="E84" s="98"/>
      <c r="F84" s="99"/>
      <c r="G84" s="100"/>
      <c r="H84" s="100"/>
    </row>
    <row r="85" customHeight="1" spans="2:8">
      <c r="B85" s="98"/>
      <c r="C85" s="98"/>
      <c r="D85" s="98"/>
      <c r="E85" s="98"/>
      <c r="F85" s="99"/>
      <c r="G85" s="100"/>
      <c r="H85" s="100"/>
    </row>
    <row r="86" customHeight="1" spans="2:8">
      <c r="B86" s="98"/>
      <c r="C86" s="98"/>
      <c r="D86" s="98"/>
      <c r="E86" s="98"/>
      <c r="F86" s="99"/>
      <c r="G86" s="100"/>
      <c r="H86" s="100"/>
    </row>
    <row r="87" customHeight="1" spans="2:8">
      <c r="B87" s="98"/>
      <c r="C87" s="98"/>
      <c r="D87" s="98"/>
      <c r="E87" s="98"/>
      <c r="F87" s="99"/>
      <c r="G87" s="100"/>
      <c r="H87" s="100"/>
    </row>
    <row r="88" customHeight="1" spans="2:8">
      <c r="B88" s="98"/>
      <c r="C88" s="98"/>
      <c r="D88" s="98"/>
      <c r="E88" s="98"/>
      <c r="F88" s="99"/>
      <c r="G88" s="100"/>
      <c r="H88" s="100"/>
    </row>
    <row r="89" customHeight="1" spans="2:8">
      <c r="B89" s="98"/>
      <c r="C89" s="98"/>
      <c r="D89" s="98"/>
      <c r="E89" s="98"/>
      <c r="F89" s="99"/>
      <c r="G89" s="100"/>
      <c r="H89" s="100"/>
    </row>
    <row r="90" customHeight="1" spans="2:8">
      <c r="B90" s="98"/>
      <c r="C90" s="98"/>
      <c r="D90" s="98"/>
      <c r="E90" s="98"/>
      <c r="F90" s="99"/>
      <c r="G90" s="100"/>
      <c r="H90" s="100"/>
    </row>
    <row r="91" customHeight="1" spans="2:8">
      <c r="B91" s="98"/>
      <c r="C91" s="98"/>
      <c r="D91" s="98"/>
      <c r="E91" s="98"/>
      <c r="F91" s="99"/>
      <c r="G91" s="100"/>
      <c r="H91" s="100"/>
    </row>
    <row r="92" customHeight="1" spans="2:8">
      <c r="B92" s="98"/>
      <c r="C92" s="98"/>
      <c r="D92" s="98"/>
      <c r="E92" s="98"/>
      <c r="F92" s="99"/>
      <c r="G92" s="100"/>
      <c r="H92" s="100"/>
    </row>
    <row r="93" customHeight="1" spans="2:8">
      <c r="B93" s="98"/>
      <c r="C93" s="98"/>
      <c r="D93" s="98"/>
      <c r="E93" s="98"/>
      <c r="F93" s="99"/>
      <c r="G93" s="100"/>
      <c r="H93" s="100"/>
    </row>
    <row r="94" customHeight="1" spans="2:8">
      <c r="B94" s="98"/>
      <c r="C94" s="98"/>
      <c r="D94" s="98"/>
      <c r="E94" s="98"/>
      <c r="F94" s="99"/>
      <c r="G94" s="100"/>
      <c r="H94" s="100"/>
    </row>
    <row r="95" customHeight="1" spans="2:8">
      <c r="B95" s="98"/>
      <c r="C95" s="98"/>
      <c r="D95" s="98"/>
      <c r="E95" s="98"/>
      <c r="F95" s="99"/>
      <c r="G95" s="100"/>
      <c r="H95" s="100"/>
    </row>
    <row r="96" customHeight="1" spans="2:8">
      <c r="B96" s="98"/>
      <c r="C96" s="98"/>
      <c r="D96" s="98"/>
      <c r="E96" s="98"/>
      <c r="F96" s="99"/>
      <c r="G96" s="100"/>
      <c r="H96" s="100"/>
    </row>
    <row r="97" customHeight="1" spans="2:8">
      <c r="B97" s="98"/>
      <c r="C97" s="98"/>
      <c r="D97" s="98"/>
      <c r="E97" s="98"/>
      <c r="F97" s="99"/>
      <c r="G97" s="100"/>
      <c r="H97" s="100"/>
    </row>
    <row r="98" customHeight="1" spans="2:8">
      <c r="B98" s="98"/>
      <c r="C98" s="98"/>
      <c r="D98" s="98"/>
      <c r="E98" s="98"/>
      <c r="F98" s="99"/>
      <c r="G98" s="100"/>
      <c r="H98" s="100"/>
    </row>
    <row r="99" customHeight="1" spans="2:8">
      <c r="B99" s="98"/>
      <c r="C99" s="98"/>
      <c r="D99" s="98"/>
      <c r="E99" s="98"/>
      <c r="F99" s="99"/>
      <c r="G99" s="100"/>
      <c r="H99" s="100"/>
    </row>
    <row r="100" customHeight="1" spans="2:8">
      <c r="B100" s="98"/>
      <c r="C100" s="98"/>
      <c r="D100" s="98"/>
      <c r="E100" s="98"/>
      <c r="F100" s="99"/>
      <c r="G100" s="100"/>
      <c r="H100" s="100"/>
    </row>
    <row r="101" customHeight="1" spans="2:8">
      <c r="B101" s="98"/>
      <c r="C101" s="98"/>
      <c r="D101" s="98"/>
      <c r="E101" s="98"/>
      <c r="F101" s="99"/>
      <c r="G101" s="100"/>
      <c r="H101" s="100"/>
    </row>
    <row r="102" customHeight="1" spans="2:8">
      <c r="B102" s="98"/>
      <c r="C102" s="98"/>
      <c r="D102" s="98"/>
      <c r="E102" s="98"/>
      <c r="F102" s="99"/>
      <c r="G102" s="100"/>
      <c r="H102" s="100"/>
    </row>
    <row r="103" customHeight="1" spans="2:8">
      <c r="B103" s="98"/>
      <c r="C103" s="98"/>
      <c r="D103" s="98"/>
      <c r="E103" s="98"/>
      <c r="F103" s="99"/>
      <c r="G103" s="100"/>
      <c r="H103" s="100"/>
    </row>
    <row r="104" customHeight="1" spans="2:8">
      <c r="B104" s="98"/>
      <c r="C104" s="98"/>
      <c r="D104" s="98"/>
      <c r="E104" s="98"/>
      <c r="F104" s="99"/>
      <c r="G104" s="100"/>
      <c r="H104" s="100"/>
    </row>
    <row r="105" customHeight="1" spans="2:8">
      <c r="B105" s="98"/>
      <c r="C105" s="98"/>
      <c r="D105" s="98"/>
      <c r="E105" s="98"/>
      <c r="F105" s="99"/>
      <c r="G105" s="100"/>
      <c r="H105" s="100"/>
    </row>
    <row r="106" customHeight="1" spans="2:8">
      <c r="B106" s="98"/>
      <c r="C106" s="98"/>
      <c r="D106" s="98"/>
      <c r="E106" s="98"/>
      <c r="F106" s="99"/>
      <c r="G106" s="100"/>
      <c r="H106" s="100"/>
    </row>
    <row r="107" customHeight="1" spans="2:8">
      <c r="B107" s="98"/>
      <c r="C107" s="98"/>
      <c r="D107" s="98"/>
      <c r="E107" s="98"/>
      <c r="F107" s="99"/>
      <c r="G107" s="100"/>
      <c r="H107" s="100"/>
    </row>
    <row r="108" customHeight="1" spans="2:8">
      <c r="B108" s="98"/>
      <c r="C108" s="98"/>
      <c r="D108" s="98"/>
      <c r="E108" s="98"/>
      <c r="F108" s="99"/>
      <c r="G108" s="100"/>
      <c r="H108" s="100"/>
    </row>
    <row r="109" customHeight="1" spans="2:8">
      <c r="B109" s="98"/>
      <c r="C109" s="98"/>
      <c r="D109" s="98"/>
      <c r="E109" s="98"/>
      <c r="F109" s="99"/>
      <c r="G109" s="100"/>
      <c r="H109" s="100"/>
    </row>
    <row r="110" customHeight="1" spans="2:8">
      <c r="B110" s="98"/>
      <c r="C110" s="98"/>
      <c r="D110" s="98"/>
      <c r="E110" s="98"/>
      <c r="F110" s="99"/>
      <c r="G110" s="100"/>
      <c r="H110" s="100"/>
    </row>
    <row r="111" customHeight="1" spans="2:8">
      <c r="B111" s="98"/>
      <c r="C111" s="98"/>
      <c r="D111" s="98"/>
      <c r="E111" s="98"/>
      <c r="F111" s="99"/>
      <c r="G111" s="100"/>
      <c r="H111" s="100"/>
    </row>
    <row r="112" customHeight="1" spans="2:8">
      <c r="B112" s="98"/>
      <c r="C112" s="98"/>
      <c r="D112" s="98"/>
      <c r="E112" s="98"/>
      <c r="F112" s="99"/>
      <c r="G112" s="100"/>
      <c r="H112" s="100"/>
    </row>
    <row r="113" customHeight="1" spans="2:8">
      <c r="B113" s="98"/>
      <c r="C113" s="98"/>
      <c r="D113" s="98"/>
      <c r="E113" s="98"/>
      <c r="F113" s="99"/>
      <c r="G113" s="100"/>
      <c r="H113" s="100"/>
    </row>
    <row r="114" customHeight="1" spans="2:8">
      <c r="B114" s="98"/>
      <c r="C114" s="98"/>
      <c r="D114" s="98"/>
      <c r="E114" s="98"/>
      <c r="F114" s="99"/>
      <c r="G114" s="100"/>
      <c r="H114" s="100"/>
    </row>
    <row r="115" customHeight="1" spans="2:8">
      <c r="B115" s="98"/>
      <c r="C115" s="98"/>
      <c r="D115" s="98"/>
      <c r="E115" s="98"/>
      <c r="F115" s="99"/>
      <c r="G115" s="100"/>
      <c r="H115" s="100"/>
    </row>
    <row r="116" customHeight="1" spans="2:8">
      <c r="B116" s="98"/>
      <c r="C116" s="98"/>
      <c r="D116" s="98"/>
      <c r="E116" s="98"/>
      <c r="F116" s="99"/>
      <c r="G116" s="100"/>
      <c r="H116" s="100"/>
    </row>
    <row r="117" customHeight="1" spans="2:8">
      <c r="B117" s="98"/>
      <c r="C117" s="98"/>
      <c r="D117" s="98"/>
      <c r="E117" s="98"/>
      <c r="F117" s="99"/>
      <c r="G117" s="100"/>
      <c r="H117" s="100"/>
    </row>
    <row r="118" customHeight="1" spans="2:8">
      <c r="B118" s="98"/>
      <c r="C118" s="98"/>
      <c r="D118" s="98"/>
      <c r="E118" s="98"/>
      <c r="F118" s="99"/>
      <c r="G118" s="100"/>
      <c r="H118" s="100"/>
    </row>
    <row r="119" customHeight="1" spans="2:8">
      <c r="B119" s="98"/>
      <c r="C119" s="98"/>
      <c r="D119" s="98"/>
      <c r="E119" s="98"/>
      <c r="F119" s="99"/>
      <c r="G119" s="100"/>
      <c r="H119" s="100"/>
    </row>
    <row r="120" customHeight="1" spans="2:8">
      <c r="B120" s="98"/>
      <c r="C120" s="98"/>
      <c r="D120" s="98"/>
      <c r="E120" s="98"/>
      <c r="F120" s="99"/>
      <c r="G120" s="100"/>
      <c r="H120" s="100"/>
    </row>
    <row r="121" customHeight="1" spans="2:8">
      <c r="B121" s="98"/>
      <c r="C121" s="98"/>
      <c r="D121" s="98"/>
      <c r="E121" s="98"/>
      <c r="F121" s="99"/>
      <c r="G121" s="100"/>
      <c r="H121" s="100"/>
    </row>
    <row r="122" customHeight="1" spans="2:8">
      <c r="B122" s="98"/>
      <c r="C122" s="98"/>
      <c r="D122" s="98"/>
      <c r="E122" s="98"/>
      <c r="F122" s="99"/>
      <c r="G122" s="100"/>
      <c r="H122" s="100"/>
    </row>
    <row r="123" customHeight="1" spans="2:8">
      <c r="B123" s="98"/>
      <c r="C123" s="98"/>
      <c r="D123" s="98"/>
      <c r="E123" s="98"/>
      <c r="F123" s="99"/>
      <c r="G123" s="100"/>
      <c r="H123" s="100"/>
    </row>
    <row r="124" customHeight="1" spans="2:8">
      <c r="B124" s="98"/>
      <c r="C124" s="98"/>
      <c r="D124" s="98"/>
      <c r="E124" s="98"/>
      <c r="F124" s="99"/>
      <c r="G124" s="100"/>
      <c r="H124" s="100"/>
    </row>
    <row r="125" customHeight="1" spans="2:8">
      <c r="B125" s="98"/>
      <c r="C125" s="98"/>
      <c r="D125" s="98"/>
      <c r="E125" s="98"/>
      <c r="F125" s="99"/>
      <c r="G125" s="100"/>
      <c r="H125" s="100"/>
    </row>
    <row r="126" customHeight="1" spans="2:8">
      <c r="B126" s="98"/>
      <c r="C126" s="98"/>
      <c r="D126" s="98"/>
      <c r="E126" s="98"/>
      <c r="F126" s="99"/>
      <c r="G126" s="100"/>
      <c r="H126" s="100"/>
    </row>
    <row r="127" customHeight="1" spans="2:8">
      <c r="B127" s="98"/>
      <c r="C127" s="98"/>
      <c r="D127" s="98"/>
      <c r="E127" s="98"/>
      <c r="F127" s="99"/>
      <c r="G127" s="100"/>
      <c r="H127" s="100"/>
    </row>
    <row r="128" customHeight="1" spans="2:8">
      <c r="B128" s="98"/>
      <c r="C128" s="98"/>
      <c r="D128" s="98"/>
      <c r="E128" s="98"/>
      <c r="F128" s="99"/>
      <c r="G128" s="100"/>
      <c r="H128" s="100"/>
    </row>
    <row r="129" customHeight="1" spans="2:8">
      <c r="B129" s="98"/>
      <c r="C129" s="98"/>
      <c r="D129" s="98"/>
      <c r="E129" s="98"/>
      <c r="F129" s="99"/>
      <c r="G129" s="100"/>
      <c r="H129" s="100"/>
    </row>
    <row r="130" customHeight="1" spans="2:8">
      <c r="B130" s="98"/>
      <c r="C130" s="98"/>
      <c r="D130" s="98"/>
      <c r="E130" s="98"/>
      <c r="F130" s="99"/>
      <c r="G130" s="100"/>
      <c r="H130" s="100"/>
    </row>
    <row r="131" customHeight="1" spans="2:8">
      <c r="B131" s="98"/>
      <c r="C131" s="98"/>
      <c r="D131" s="98"/>
      <c r="E131" s="98"/>
      <c r="F131" s="99"/>
      <c r="G131" s="100"/>
      <c r="H131" s="100"/>
    </row>
    <row r="132" customHeight="1" spans="2:8">
      <c r="B132" s="98"/>
      <c r="C132" s="98"/>
      <c r="D132" s="98"/>
      <c r="E132" s="98"/>
      <c r="F132" s="99"/>
      <c r="G132" s="100"/>
      <c r="H132" s="100"/>
    </row>
    <row r="133" customHeight="1" spans="2:8">
      <c r="B133" s="98"/>
      <c r="C133" s="98"/>
      <c r="D133" s="98"/>
      <c r="E133" s="98"/>
      <c r="F133" s="99"/>
      <c r="G133" s="100"/>
      <c r="H133" s="100"/>
    </row>
    <row r="134" customHeight="1" spans="2:8">
      <c r="B134" s="98"/>
      <c r="C134" s="98"/>
      <c r="D134" s="98"/>
      <c r="E134" s="98"/>
      <c r="F134" s="99"/>
      <c r="G134" s="100"/>
      <c r="H134" s="100"/>
    </row>
    <row r="135" customHeight="1" spans="2:8">
      <c r="B135" s="98"/>
      <c r="C135" s="98"/>
      <c r="D135" s="98"/>
      <c r="E135" s="98"/>
      <c r="F135" s="99"/>
      <c r="G135" s="100"/>
      <c r="H135" s="100"/>
    </row>
    <row r="136" customHeight="1" spans="2:8">
      <c r="B136" s="98"/>
      <c r="C136" s="98"/>
      <c r="D136" s="98"/>
      <c r="E136" s="98"/>
      <c r="F136" s="99"/>
      <c r="G136" s="100"/>
      <c r="H136" s="100"/>
    </row>
    <row r="137" customHeight="1" spans="2:8">
      <c r="B137" s="98"/>
      <c r="C137" s="98"/>
      <c r="D137" s="98"/>
      <c r="E137" s="98"/>
      <c r="F137" s="99"/>
      <c r="G137" s="100"/>
      <c r="H137" s="100"/>
    </row>
    <row r="138" customHeight="1" spans="2:8">
      <c r="B138" s="98"/>
      <c r="C138" s="98"/>
      <c r="D138" s="98"/>
      <c r="E138" s="98"/>
      <c r="F138" s="99"/>
      <c r="G138" s="100"/>
      <c r="H138" s="100"/>
    </row>
    <row r="139" customHeight="1" spans="2:8">
      <c r="B139" s="98"/>
      <c r="C139" s="98"/>
      <c r="D139" s="98"/>
      <c r="E139" s="98"/>
      <c r="F139" s="99"/>
      <c r="G139" s="100"/>
      <c r="H139" s="100"/>
    </row>
    <row r="140" customHeight="1" spans="2:8">
      <c r="B140" s="98"/>
      <c r="C140" s="98"/>
      <c r="D140" s="98"/>
      <c r="E140" s="98"/>
      <c r="F140" s="99"/>
      <c r="G140" s="100"/>
      <c r="H140" s="100"/>
    </row>
    <row r="141" customHeight="1" spans="2:8">
      <c r="B141" s="98"/>
      <c r="C141" s="98"/>
      <c r="D141" s="98"/>
      <c r="E141" s="98"/>
      <c r="F141" s="99"/>
      <c r="G141" s="100"/>
      <c r="H141" s="100"/>
    </row>
    <row r="142" customHeight="1" spans="2:8">
      <c r="B142" s="98"/>
      <c r="C142" s="98"/>
      <c r="D142" s="98"/>
      <c r="E142" s="98"/>
      <c r="F142" s="99"/>
      <c r="G142" s="100"/>
      <c r="H142" s="100"/>
    </row>
    <row r="143" customHeight="1" spans="2:8">
      <c r="B143" s="98"/>
      <c r="C143" s="98"/>
      <c r="D143" s="98"/>
      <c r="E143" s="98"/>
      <c r="F143" s="99"/>
      <c r="G143" s="100"/>
      <c r="H143" s="100"/>
    </row>
    <row r="144" customHeight="1" spans="2:8">
      <c r="B144" s="98"/>
      <c r="C144" s="98"/>
      <c r="D144" s="98"/>
      <c r="E144" s="98"/>
      <c r="F144" s="99"/>
      <c r="G144" s="100"/>
      <c r="H144" s="100"/>
    </row>
    <row r="145" customHeight="1" spans="2:8">
      <c r="B145" s="98"/>
      <c r="C145" s="98"/>
      <c r="D145" s="98"/>
      <c r="E145" s="98"/>
      <c r="F145" s="99"/>
      <c r="G145" s="100"/>
      <c r="H145" s="100"/>
    </row>
    <row r="146" customHeight="1" spans="2:8">
      <c r="B146" s="98"/>
      <c r="C146" s="98"/>
      <c r="D146" s="98"/>
      <c r="E146" s="98"/>
      <c r="F146" s="99"/>
      <c r="G146" s="100"/>
      <c r="H146" s="100"/>
    </row>
    <row r="147" customHeight="1" spans="2:8">
      <c r="B147" s="98"/>
      <c r="C147" s="98"/>
      <c r="D147" s="98"/>
      <c r="E147" s="98"/>
      <c r="F147" s="99"/>
      <c r="G147" s="100"/>
      <c r="H147" s="100"/>
    </row>
    <row r="148" customHeight="1" spans="2:8">
      <c r="B148" s="98"/>
      <c r="C148" s="98"/>
      <c r="D148" s="98"/>
      <c r="E148" s="98"/>
      <c r="F148" s="99"/>
      <c r="G148" s="100"/>
      <c r="H148" s="100"/>
    </row>
    <row r="149" customHeight="1" spans="2:8">
      <c r="B149" s="98"/>
      <c r="C149" s="98"/>
      <c r="D149" s="98"/>
      <c r="E149" s="98"/>
      <c r="F149" s="99"/>
      <c r="G149" s="100"/>
      <c r="H149" s="100"/>
    </row>
    <row r="150" customHeight="1" spans="2:8">
      <c r="B150" s="98"/>
      <c r="C150" s="98"/>
      <c r="D150" s="98"/>
      <c r="E150" s="98"/>
      <c r="F150" s="99"/>
      <c r="G150" s="100"/>
      <c r="H150" s="100"/>
    </row>
    <row r="151" customHeight="1" spans="2:8">
      <c r="B151" s="98"/>
      <c r="C151" s="98"/>
      <c r="D151" s="98"/>
      <c r="E151" s="98"/>
      <c r="F151" s="99"/>
      <c r="G151" s="100"/>
      <c r="H151" s="100"/>
    </row>
    <row r="152" customHeight="1" spans="2:8">
      <c r="B152" s="98"/>
      <c r="C152" s="98"/>
      <c r="D152" s="98"/>
      <c r="E152" s="98"/>
      <c r="F152" s="99"/>
      <c r="G152" s="100"/>
      <c r="H152" s="100"/>
    </row>
    <row r="153" customHeight="1" spans="2:8">
      <c r="B153" s="98"/>
      <c r="C153" s="98"/>
      <c r="D153" s="98"/>
      <c r="E153" s="98"/>
      <c r="F153" s="99"/>
      <c r="G153" s="100"/>
      <c r="H153" s="100"/>
    </row>
    <row r="154" customHeight="1" spans="2:8">
      <c r="B154" s="98"/>
      <c r="C154" s="98"/>
      <c r="D154" s="98"/>
      <c r="E154" s="98"/>
      <c r="F154" s="99"/>
      <c r="G154" s="100"/>
      <c r="H154" s="100"/>
    </row>
    <row r="155" customHeight="1" spans="2:8">
      <c r="B155" s="98"/>
      <c r="C155" s="98"/>
      <c r="D155" s="98"/>
      <c r="E155" s="98"/>
      <c r="F155" s="99"/>
      <c r="G155" s="100"/>
      <c r="H155" s="100"/>
    </row>
    <row r="156" customHeight="1" spans="2:8">
      <c r="B156" s="98"/>
      <c r="C156" s="98"/>
      <c r="D156" s="98"/>
      <c r="E156" s="98"/>
      <c r="F156" s="99"/>
      <c r="G156" s="100"/>
      <c r="H156" s="100"/>
    </row>
    <row r="157" customHeight="1" spans="2:8">
      <c r="B157" s="98"/>
      <c r="C157" s="98"/>
      <c r="D157" s="98"/>
      <c r="E157" s="98"/>
      <c r="F157" s="99"/>
      <c r="G157" s="100"/>
      <c r="H157" s="100"/>
    </row>
    <row r="158" customHeight="1" spans="2:8">
      <c r="B158" s="98"/>
      <c r="C158" s="98"/>
      <c r="D158" s="98"/>
      <c r="E158" s="98"/>
      <c r="F158" s="99"/>
      <c r="G158" s="100"/>
      <c r="H158" s="100"/>
    </row>
    <row r="159" customHeight="1" spans="2:8">
      <c r="B159" s="98"/>
      <c r="C159" s="98"/>
      <c r="D159" s="98"/>
      <c r="E159" s="98"/>
      <c r="F159" s="99"/>
      <c r="G159" s="100"/>
      <c r="H159" s="100"/>
    </row>
    <row r="160" customHeight="1" spans="2:8">
      <c r="B160" s="98"/>
      <c r="C160" s="98"/>
      <c r="D160" s="98"/>
      <c r="E160" s="98"/>
      <c r="F160" s="99"/>
      <c r="G160" s="100"/>
      <c r="H160" s="100"/>
    </row>
    <row r="161" customHeight="1" spans="2:8">
      <c r="B161" s="98"/>
      <c r="C161" s="98"/>
      <c r="D161" s="98"/>
      <c r="E161" s="98"/>
      <c r="F161" s="99"/>
      <c r="G161" s="100"/>
      <c r="H161" s="100"/>
    </row>
    <row r="162" customHeight="1" spans="2:8">
      <c r="B162" s="98"/>
      <c r="C162" s="98"/>
      <c r="D162" s="98"/>
      <c r="E162" s="98"/>
      <c r="F162" s="99"/>
      <c r="G162" s="100"/>
      <c r="H162" s="100"/>
    </row>
    <row r="163" customHeight="1" spans="2:8">
      <c r="B163" s="98"/>
      <c r="C163" s="98"/>
      <c r="D163" s="98"/>
      <c r="E163" s="98"/>
      <c r="F163" s="99"/>
      <c r="G163" s="100"/>
      <c r="H163" s="100"/>
    </row>
    <row r="164" customHeight="1" spans="2:8">
      <c r="B164" s="98"/>
      <c r="C164" s="98"/>
      <c r="D164" s="98"/>
      <c r="E164" s="98"/>
      <c r="F164" s="99"/>
      <c r="G164" s="100"/>
      <c r="H164" s="100"/>
    </row>
    <row r="165" customHeight="1" spans="2:8">
      <c r="B165" s="98"/>
      <c r="C165" s="98"/>
      <c r="D165" s="98"/>
      <c r="E165" s="98"/>
      <c r="F165" s="99"/>
      <c r="G165" s="100"/>
      <c r="H165" s="100"/>
    </row>
    <row r="166" customHeight="1" spans="2:8">
      <c r="B166" s="98"/>
      <c r="C166" s="98"/>
      <c r="D166" s="98"/>
      <c r="E166" s="98"/>
      <c r="F166" s="99"/>
      <c r="G166" s="100"/>
      <c r="H166" s="100"/>
    </row>
    <row r="167" customHeight="1" spans="2:8">
      <c r="B167" s="98"/>
      <c r="C167" s="98"/>
      <c r="D167" s="98"/>
      <c r="E167" s="98"/>
      <c r="F167" s="99"/>
      <c r="G167" s="100"/>
      <c r="H167" s="100"/>
    </row>
    <row r="168" customHeight="1" spans="2:8">
      <c r="B168" s="98"/>
      <c r="C168" s="98"/>
      <c r="D168" s="98"/>
      <c r="E168" s="98"/>
      <c r="F168" s="99"/>
      <c r="G168" s="100"/>
      <c r="H168" s="100"/>
    </row>
    <row r="169" customHeight="1" spans="2:8">
      <c r="B169" s="98"/>
      <c r="C169" s="98"/>
      <c r="D169" s="98"/>
      <c r="E169" s="98"/>
      <c r="F169" s="99"/>
      <c r="G169" s="100"/>
      <c r="H169" s="100"/>
    </row>
    <row r="170" customHeight="1" spans="2:8">
      <c r="B170" s="98"/>
      <c r="C170" s="98"/>
      <c r="D170" s="98"/>
      <c r="E170" s="98"/>
      <c r="F170" s="99"/>
      <c r="G170" s="100"/>
      <c r="H170" s="100"/>
    </row>
    <row r="171" customHeight="1" spans="2:8">
      <c r="B171" s="98"/>
      <c r="C171" s="98"/>
      <c r="D171" s="98"/>
      <c r="E171" s="98"/>
      <c r="F171" s="99"/>
      <c r="G171" s="100"/>
      <c r="H171" s="100"/>
    </row>
    <row r="172" customHeight="1" spans="2:8">
      <c r="B172" s="98"/>
      <c r="C172" s="98"/>
      <c r="D172" s="98"/>
      <c r="E172" s="98"/>
      <c r="F172" s="99"/>
      <c r="G172" s="100"/>
      <c r="H172" s="100"/>
    </row>
    <row r="173" customHeight="1" spans="2:8">
      <c r="B173" s="98"/>
      <c r="C173" s="98"/>
      <c r="D173" s="98"/>
      <c r="E173" s="98"/>
      <c r="F173" s="99"/>
      <c r="G173" s="100"/>
      <c r="H173" s="100"/>
    </row>
    <row r="174" customHeight="1" spans="2:8">
      <c r="B174" s="98"/>
      <c r="C174" s="98"/>
      <c r="D174" s="98"/>
      <c r="E174" s="98"/>
      <c r="F174" s="99"/>
      <c r="G174" s="100"/>
      <c r="H174" s="100"/>
    </row>
    <row r="175" customHeight="1" spans="2:8">
      <c r="B175" s="98"/>
      <c r="C175" s="98"/>
      <c r="D175" s="98"/>
      <c r="E175" s="98"/>
      <c r="F175" s="99"/>
      <c r="G175" s="100"/>
      <c r="H175" s="100"/>
    </row>
    <row r="176" customHeight="1" spans="2:8">
      <c r="B176" s="98"/>
      <c r="C176" s="98"/>
      <c r="D176" s="98"/>
      <c r="E176" s="98"/>
      <c r="F176" s="99"/>
      <c r="G176" s="100"/>
      <c r="H176" s="100"/>
    </row>
    <row r="177" customHeight="1" spans="2:8">
      <c r="B177" s="98"/>
      <c r="C177" s="98"/>
      <c r="D177" s="98"/>
      <c r="E177" s="98"/>
      <c r="F177" s="99"/>
      <c r="G177" s="100"/>
      <c r="H177" s="100"/>
    </row>
    <row r="178" customHeight="1" spans="2:8">
      <c r="B178" s="98"/>
      <c r="C178" s="98"/>
      <c r="D178" s="98"/>
      <c r="E178" s="98"/>
      <c r="F178" s="99"/>
      <c r="G178" s="100"/>
      <c r="H178" s="100"/>
    </row>
    <row r="179" customHeight="1" spans="2:8">
      <c r="B179" s="98"/>
      <c r="C179" s="98"/>
      <c r="D179" s="98"/>
      <c r="E179" s="98"/>
      <c r="F179" s="99"/>
      <c r="G179" s="100"/>
      <c r="H179" s="100"/>
    </row>
    <row r="180" customHeight="1" spans="2:8">
      <c r="B180" s="98"/>
      <c r="C180" s="98"/>
      <c r="D180" s="98"/>
      <c r="E180" s="98"/>
      <c r="F180" s="99"/>
      <c r="G180" s="100"/>
      <c r="H180" s="100"/>
    </row>
    <row r="181" customHeight="1" spans="2:8">
      <c r="B181" s="98"/>
      <c r="C181" s="98"/>
      <c r="D181" s="98"/>
      <c r="E181" s="98"/>
      <c r="F181" s="99"/>
      <c r="G181" s="100"/>
      <c r="H181" s="100"/>
    </row>
    <row r="182" customHeight="1" spans="2:8">
      <c r="B182" s="98"/>
      <c r="C182" s="98"/>
      <c r="D182" s="98"/>
      <c r="E182" s="98"/>
      <c r="F182" s="99"/>
      <c r="G182" s="100"/>
      <c r="H182" s="100"/>
    </row>
    <row r="183" customHeight="1" spans="2:8">
      <c r="B183" s="98"/>
      <c r="C183" s="98"/>
      <c r="D183" s="98"/>
      <c r="E183" s="98"/>
      <c r="F183" s="99"/>
      <c r="G183" s="100"/>
      <c r="H183" s="100"/>
    </row>
    <row r="184" customHeight="1" spans="2:8">
      <c r="B184" s="98"/>
      <c r="C184" s="98"/>
      <c r="D184" s="98"/>
      <c r="E184" s="98"/>
      <c r="F184" s="99"/>
      <c r="G184" s="100"/>
      <c r="H184" s="100"/>
    </row>
    <row r="185" customHeight="1" spans="2:8">
      <c r="B185" s="98"/>
      <c r="C185" s="98"/>
      <c r="D185" s="98"/>
      <c r="E185" s="98"/>
      <c r="F185" s="99"/>
      <c r="G185" s="100"/>
      <c r="H185" s="100"/>
    </row>
    <row r="186" customHeight="1" spans="2:8">
      <c r="B186" s="98"/>
      <c r="C186" s="98"/>
      <c r="D186" s="98"/>
      <c r="E186" s="98"/>
      <c r="F186" s="99"/>
      <c r="G186" s="100"/>
      <c r="H186" s="100"/>
    </row>
    <row r="187" customHeight="1" spans="2:8">
      <c r="B187" s="98"/>
      <c r="C187" s="98"/>
      <c r="D187" s="98"/>
      <c r="E187" s="98"/>
      <c r="F187" s="99"/>
      <c r="G187" s="100"/>
      <c r="H187" s="100"/>
    </row>
    <row r="188" customHeight="1" spans="2:8">
      <c r="B188" s="98"/>
      <c r="C188" s="98"/>
      <c r="D188" s="98"/>
      <c r="E188" s="98"/>
      <c r="F188" s="99"/>
      <c r="G188" s="100"/>
      <c r="H188" s="100"/>
    </row>
    <row r="189" customHeight="1" spans="2:8">
      <c r="B189" s="98"/>
      <c r="C189" s="98"/>
      <c r="D189" s="98"/>
      <c r="E189" s="98"/>
      <c r="F189" s="99"/>
      <c r="G189" s="100"/>
      <c r="H189" s="100"/>
    </row>
    <row r="190" customHeight="1" spans="2:8">
      <c r="B190" s="98"/>
      <c r="C190" s="98"/>
      <c r="D190" s="98"/>
      <c r="E190" s="98"/>
      <c r="F190" s="99"/>
      <c r="G190" s="100"/>
      <c r="H190" s="100"/>
    </row>
    <row r="191" customHeight="1" spans="2:8">
      <c r="B191" s="98"/>
      <c r="C191" s="98"/>
      <c r="D191" s="98"/>
      <c r="E191" s="98"/>
      <c r="F191" s="99"/>
      <c r="G191" s="100"/>
      <c r="H191" s="100"/>
    </row>
    <row r="192" customHeight="1" spans="2:8">
      <c r="B192" s="98"/>
      <c r="C192" s="98"/>
      <c r="D192" s="98"/>
      <c r="E192" s="98"/>
      <c r="F192" s="99"/>
      <c r="G192" s="100"/>
      <c r="H192" s="100"/>
    </row>
    <row r="193" customHeight="1" spans="2:8">
      <c r="B193" s="98"/>
      <c r="C193" s="98"/>
      <c r="D193" s="98"/>
      <c r="E193" s="98"/>
      <c r="F193" s="99"/>
      <c r="G193" s="100"/>
      <c r="H193" s="100"/>
    </row>
    <row r="194" customHeight="1" spans="2:8">
      <c r="B194" s="98"/>
      <c r="C194" s="98"/>
      <c r="D194" s="98"/>
      <c r="E194" s="98"/>
      <c r="F194" s="99"/>
      <c r="G194" s="100"/>
      <c r="H194" s="100"/>
    </row>
    <row r="195" customHeight="1" spans="2:8">
      <c r="B195" s="98"/>
      <c r="C195" s="98"/>
      <c r="D195" s="98"/>
      <c r="E195" s="98"/>
      <c r="F195" s="99"/>
      <c r="G195" s="100"/>
      <c r="H195" s="100"/>
    </row>
    <row r="196" customHeight="1" spans="2:8">
      <c r="B196" s="98"/>
      <c r="C196" s="98"/>
      <c r="D196" s="98"/>
      <c r="E196" s="98"/>
      <c r="F196" s="99"/>
      <c r="G196" s="100"/>
      <c r="H196" s="100"/>
    </row>
    <row r="197" customHeight="1" spans="2:8">
      <c r="B197" s="98"/>
      <c r="C197" s="98"/>
      <c r="D197" s="98"/>
      <c r="E197" s="98"/>
      <c r="F197" s="99"/>
      <c r="G197" s="100"/>
      <c r="H197" s="100"/>
    </row>
    <row r="198" customHeight="1" spans="2:8">
      <c r="B198" s="98"/>
      <c r="C198" s="98"/>
      <c r="D198" s="98"/>
      <c r="E198" s="98"/>
      <c r="F198" s="99"/>
      <c r="G198" s="100"/>
      <c r="H198" s="100"/>
    </row>
    <row r="199" customHeight="1" spans="2:8">
      <c r="B199" s="98"/>
      <c r="C199" s="98"/>
      <c r="D199" s="98"/>
      <c r="E199" s="98"/>
      <c r="F199" s="99"/>
      <c r="G199" s="100"/>
      <c r="H199" s="100"/>
    </row>
    <row r="200" customHeight="1" spans="2:8">
      <c r="B200" s="98"/>
      <c r="C200" s="98"/>
      <c r="D200" s="98"/>
      <c r="E200" s="98"/>
      <c r="F200" s="99"/>
      <c r="G200" s="100"/>
      <c r="H200" s="100"/>
    </row>
    <row r="201" customHeight="1" spans="2:8">
      <c r="B201" s="98"/>
      <c r="C201" s="98"/>
      <c r="D201" s="98"/>
      <c r="E201" s="98"/>
      <c r="F201" s="99"/>
      <c r="G201" s="100"/>
      <c r="H201" s="100"/>
    </row>
    <row r="202" customHeight="1" spans="2:8">
      <c r="B202" s="98"/>
      <c r="C202" s="98"/>
      <c r="D202" s="98"/>
      <c r="E202" s="98"/>
      <c r="F202" s="99"/>
      <c r="G202" s="100"/>
      <c r="H202" s="100"/>
    </row>
    <row r="203" customHeight="1" spans="2:8">
      <c r="B203" s="98"/>
      <c r="C203" s="98"/>
      <c r="D203" s="98"/>
      <c r="E203" s="98"/>
      <c r="F203" s="99"/>
      <c r="G203" s="100"/>
      <c r="H203" s="100"/>
    </row>
    <row r="204" customHeight="1" spans="2:8">
      <c r="B204" s="98"/>
      <c r="C204" s="98"/>
      <c r="D204" s="98"/>
      <c r="E204" s="98"/>
      <c r="F204" s="99"/>
      <c r="G204" s="100"/>
      <c r="H204" s="100"/>
    </row>
    <row r="205" customHeight="1" spans="2:8">
      <c r="B205" s="98"/>
      <c r="C205" s="98"/>
      <c r="D205" s="98"/>
      <c r="E205" s="98"/>
      <c r="F205" s="99"/>
      <c r="G205" s="100"/>
      <c r="H205" s="100"/>
    </row>
    <row r="206" customHeight="1" spans="2:8">
      <c r="B206" s="98"/>
      <c r="C206" s="98"/>
      <c r="D206" s="98"/>
      <c r="E206" s="98"/>
      <c r="F206" s="99"/>
      <c r="G206" s="100"/>
      <c r="H206" s="100"/>
    </row>
    <row r="207" customHeight="1" spans="2:8">
      <c r="B207" s="98"/>
      <c r="C207" s="98"/>
      <c r="D207" s="98"/>
      <c r="E207" s="98"/>
      <c r="F207" s="99"/>
      <c r="G207" s="100"/>
      <c r="H207" s="100"/>
    </row>
    <row r="208" customHeight="1" spans="2:8">
      <c r="B208" s="98"/>
      <c r="C208" s="98"/>
      <c r="D208" s="98"/>
      <c r="E208" s="98"/>
      <c r="F208" s="99"/>
      <c r="G208" s="100"/>
      <c r="H208" s="100"/>
    </row>
    <row r="209" customHeight="1" spans="2:8">
      <c r="B209" s="98"/>
      <c r="C209" s="98"/>
      <c r="D209" s="98"/>
      <c r="E209" s="98"/>
      <c r="F209" s="99"/>
      <c r="G209" s="100"/>
      <c r="H209" s="100"/>
    </row>
    <row r="210" customHeight="1" spans="2:8">
      <c r="B210" s="98"/>
      <c r="C210" s="98"/>
      <c r="D210" s="98"/>
      <c r="E210" s="98"/>
      <c r="F210" s="99"/>
      <c r="G210" s="100"/>
      <c r="H210" s="100"/>
    </row>
    <row r="211" customHeight="1" spans="2:8">
      <c r="B211" s="98"/>
      <c r="C211" s="98"/>
      <c r="D211" s="98"/>
      <c r="E211" s="98"/>
      <c r="F211" s="99"/>
      <c r="G211" s="100"/>
      <c r="H211" s="100"/>
    </row>
    <row r="212" customHeight="1" spans="2:8">
      <c r="B212" s="98"/>
      <c r="C212" s="98"/>
      <c r="D212" s="98"/>
      <c r="E212" s="98"/>
      <c r="F212" s="99"/>
      <c r="G212" s="100"/>
      <c r="H212" s="100"/>
    </row>
    <row r="213" customHeight="1" spans="2:8">
      <c r="B213" s="98"/>
      <c r="C213" s="98"/>
      <c r="D213" s="98"/>
      <c r="E213" s="98"/>
      <c r="F213" s="99"/>
      <c r="G213" s="100"/>
      <c r="H213" s="100"/>
    </row>
    <row r="214" customHeight="1" spans="2:8">
      <c r="B214" s="98"/>
      <c r="C214" s="98"/>
      <c r="D214" s="98"/>
      <c r="E214" s="98"/>
      <c r="F214" s="99"/>
      <c r="G214" s="100"/>
      <c r="H214" s="100"/>
    </row>
    <row r="215" customHeight="1" spans="2:8">
      <c r="B215" s="98"/>
      <c r="C215" s="98"/>
      <c r="D215" s="98"/>
      <c r="E215" s="98"/>
      <c r="F215" s="99"/>
      <c r="G215" s="100"/>
      <c r="H215" s="100"/>
    </row>
    <row r="216" customHeight="1" spans="2:8">
      <c r="B216" s="98"/>
      <c r="C216" s="98"/>
      <c r="D216" s="98"/>
      <c r="E216" s="98"/>
      <c r="F216" s="99"/>
      <c r="G216" s="100"/>
      <c r="H216" s="100"/>
    </row>
    <row r="217" customHeight="1" spans="2:8">
      <c r="B217" s="98"/>
      <c r="C217" s="98"/>
      <c r="D217" s="98"/>
      <c r="E217" s="98"/>
      <c r="F217" s="99"/>
      <c r="G217" s="100"/>
      <c r="H217" s="100"/>
    </row>
    <row r="218" customHeight="1" spans="2:8">
      <c r="B218" s="98"/>
      <c r="C218" s="98"/>
      <c r="D218" s="98"/>
      <c r="E218" s="98"/>
      <c r="F218" s="99"/>
      <c r="G218" s="100"/>
      <c r="H218" s="100"/>
    </row>
    <row r="219" customHeight="1" spans="2:8">
      <c r="B219" s="98"/>
      <c r="C219" s="98"/>
      <c r="D219" s="98"/>
      <c r="E219" s="98"/>
      <c r="F219" s="99"/>
      <c r="G219" s="100"/>
      <c r="H219" s="100"/>
    </row>
    <row r="220" customHeight="1" spans="2:8">
      <c r="B220" s="98"/>
      <c r="C220" s="98"/>
      <c r="D220" s="98"/>
      <c r="E220" s="98"/>
      <c r="F220" s="99"/>
      <c r="G220" s="100"/>
      <c r="H220" s="100"/>
    </row>
    <row r="221" customHeight="1" spans="2:8">
      <c r="B221" s="98"/>
      <c r="C221" s="98"/>
      <c r="D221" s="98"/>
      <c r="E221" s="98"/>
      <c r="F221" s="99"/>
      <c r="G221" s="100"/>
      <c r="H221" s="100"/>
    </row>
    <row r="222" customHeight="1" spans="2:8">
      <c r="B222" s="98"/>
      <c r="C222" s="98"/>
      <c r="D222" s="98"/>
      <c r="E222" s="98"/>
      <c r="F222" s="99"/>
      <c r="G222" s="100"/>
      <c r="H222" s="100"/>
    </row>
    <row r="223" customHeight="1" spans="2:8">
      <c r="B223" s="98"/>
      <c r="C223" s="98"/>
      <c r="D223" s="98"/>
      <c r="E223" s="98"/>
      <c r="F223" s="99"/>
      <c r="G223" s="100"/>
      <c r="H223" s="100"/>
    </row>
    <row r="224" customHeight="1" spans="2:8">
      <c r="B224" s="98"/>
      <c r="C224" s="98"/>
      <c r="D224" s="98"/>
      <c r="E224" s="98"/>
      <c r="F224" s="99"/>
      <c r="G224" s="100"/>
      <c r="H224" s="100"/>
    </row>
    <row r="225" customHeight="1" spans="2:8">
      <c r="B225" s="98"/>
      <c r="C225" s="98"/>
      <c r="D225" s="98"/>
      <c r="E225" s="98"/>
      <c r="F225" s="99"/>
      <c r="G225" s="100"/>
      <c r="H225" s="100"/>
    </row>
    <row r="226" customHeight="1" spans="2:8">
      <c r="B226" s="98"/>
      <c r="C226" s="98"/>
      <c r="D226" s="98"/>
      <c r="E226" s="98"/>
      <c r="F226" s="99"/>
      <c r="G226" s="100"/>
      <c r="H226" s="100"/>
    </row>
    <row r="227" customHeight="1" spans="2:8">
      <c r="B227" s="98"/>
      <c r="C227" s="98"/>
      <c r="D227" s="98"/>
      <c r="E227" s="98"/>
      <c r="F227" s="99"/>
      <c r="G227" s="100"/>
      <c r="H227" s="100"/>
    </row>
    <row r="228" customHeight="1" spans="2:8">
      <c r="B228" s="98"/>
      <c r="C228" s="98"/>
      <c r="D228" s="98"/>
      <c r="E228" s="98"/>
      <c r="F228" s="99"/>
      <c r="G228" s="100"/>
      <c r="H228" s="100"/>
    </row>
    <row r="229" customHeight="1" spans="2:8">
      <c r="B229" s="98"/>
      <c r="C229" s="98"/>
      <c r="D229" s="98"/>
      <c r="E229" s="98"/>
      <c r="F229" s="99"/>
      <c r="G229" s="100"/>
      <c r="H229" s="100"/>
    </row>
    <row r="230" customHeight="1" spans="2:8">
      <c r="B230" s="98"/>
      <c r="C230" s="98"/>
      <c r="D230" s="98"/>
      <c r="E230" s="98"/>
      <c r="F230" s="99"/>
      <c r="G230" s="100"/>
      <c r="H230" s="100"/>
    </row>
    <row r="231" customHeight="1" spans="2:8">
      <c r="B231" s="98"/>
      <c r="C231" s="98"/>
      <c r="D231" s="98"/>
      <c r="E231" s="98"/>
      <c r="F231" s="99"/>
      <c r="G231" s="100"/>
      <c r="H231" s="100"/>
    </row>
    <row r="232" customHeight="1" spans="2:8">
      <c r="B232" s="98"/>
      <c r="C232" s="98"/>
      <c r="D232" s="98"/>
      <c r="E232" s="98"/>
      <c r="F232" s="99"/>
      <c r="G232" s="100"/>
      <c r="H232" s="100"/>
    </row>
    <row r="233" customHeight="1" spans="2:8">
      <c r="B233" s="98"/>
      <c r="C233" s="98"/>
      <c r="D233" s="98"/>
      <c r="E233" s="98"/>
      <c r="F233" s="99"/>
      <c r="G233" s="100"/>
      <c r="H233" s="100"/>
    </row>
    <row r="234" customHeight="1" spans="2:8">
      <c r="B234" s="98"/>
      <c r="C234" s="98"/>
      <c r="D234" s="98"/>
      <c r="E234" s="98"/>
      <c r="F234" s="99"/>
      <c r="G234" s="100"/>
      <c r="H234" s="100"/>
    </row>
    <row r="235" customHeight="1" spans="2:8">
      <c r="B235" s="98"/>
      <c r="C235" s="98"/>
      <c r="D235" s="98"/>
      <c r="E235" s="98"/>
      <c r="F235" s="99"/>
      <c r="G235" s="100"/>
      <c r="H235" s="100"/>
    </row>
    <row r="236" customHeight="1" spans="2:8">
      <c r="B236" s="98"/>
      <c r="C236" s="98"/>
      <c r="D236" s="98"/>
      <c r="E236" s="98"/>
      <c r="F236" s="99"/>
      <c r="G236" s="100"/>
      <c r="H236" s="100"/>
    </row>
    <row r="237" customHeight="1" spans="2:8">
      <c r="B237" s="98"/>
      <c r="C237" s="98"/>
      <c r="D237" s="98"/>
      <c r="E237" s="98"/>
      <c r="F237" s="99"/>
      <c r="G237" s="100"/>
      <c r="H237" s="100"/>
    </row>
    <row r="238" customHeight="1" spans="2:8">
      <c r="B238" s="98"/>
      <c r="C238" s="98"/>
      <c r="D238" s="98"/>
      <c r="E238" s="98"/>
      <c r="F238" s="99"/>
      <c r="G238" s="100"/>
      <c r="H238" s="100"/>
    </row>
    <row r="239" customHeight="1" spans="2:8">
      <c r="B239" s="98"/>
      <c r="C239" s="98"/>
      <c r="D239" s="98"/>
      <c r="E239" s="98"/>
      <c r="F239" s="99"/>
      <c r="G239" s="100"/>
      <c r="H239" s="100"/>
    </row>
    <row r="240" customHeight="1" spans="2:8">
      <c r="B240" s="98"/>
      <c r="C240" s="98"/>
      <c r="D240" s="98"/>
      <c r="E240" s="98"/>
      <c r="F240" s="99"/>
      <c r="G240" s="100"/>
      <c r="H240" s="100"/>
    </row>
    <row r="241" customHeight="1" spans="2:8">
      <c r="B241" s="98"/>
      <c r="C241" s="98"/>
      <c r="D241" s="98"/>
      <c r="E241" s="98"/>
      <c r="F241" s="99"/>
      <c r="G241" s="100"/>
      <c r="H241" s="100"/>
    </row>
    <row r="242" customHeight="1" spans="2:8">
      <c r="B242" s="98"/>
      <c r="C242" s="98"/>
      <c r="D242" s="98"/>
      <c r="E242" s="98"/>
      <c r="F242" s="99"/>
      <c r="G242" s="100"/>
      <c r="H242" s="100"/>
    </row>
    <row r="243" customHeight="1" spans="2:8">
      <c r="B243" s="98"/>
      <c r="C243" s="98"/>
      <c r="D243" s="98"/>
      <c r="E243" s="98"/>
      <c r="F243" s="99"/>
      <c r="G243" s="100"/>
      <c r="H243" s="100"/>
    </row>
    <row r="244" customHeight="1" spans="2:8">
      <c r="B244" s="98"/>
      <c r="C244" s="98"/>
      <c r="D244" s="98"/>
      <c r="E244" s="98"/>
      <c r="F244" s="99"/>
      <c r="G244" s="100"/>
      <c r="H244" s="100"/>
    </row>
    <row r="245" customHeight="1" spans="2:8">
      <c r="B245" s="98"/>
      <c r="C245" s="98"/>
      <c r="D245" s="98"/>
      <c r="E245" s="98"/>
      <c r="F245" s="99"/>
      <c r="G245" s="100"/>
      <c r="H245" s="100"/>
    </row>
    <row r="246" customHeight="1" spans="2:8">
      <c r="B246" s="98"/>
      <c r="C246" s="98"/>
      <c r="D246" s="98"/>
      <c r="E246" s="98"/>
      <c r="F246" s="99"/>
      <c r="G246" s="100"/>
      <c r="H246" s="100"/>
    </row>
    <row r="247" customHeight="1" spans="2:8">
      <c r="B247" s="98"/>
      <c r="C247" s="98"/>
      <c r="D247" s="98"/>
      <c r="E247" s="98"/>
      <c r="F247" s="99"/>
      <c r="G247" s="100"/>
      <c r="H247" s="100"/>
    </row>
    <row r="248" customHeight="1" spans="2:8">
      <c r="B248" s="98"/>
      <c r="C248" s="98"/>
      <c r="D248" s="98"/>
      <c r="E248" s="98"/>
      <c r="F248" s="99"/>
      <c r="G248" s="100"/>
      <c r="H248" s="100"/>
    </row>
    <row r="249" customHeight="1" spans="2:8">
      <c r="B249" s="98"/>
      <c r="C249" s="98"/>
      <c r="D249" s="98"/>
      <c r="E249" s="98"/>
      <c r="F249" s="99"/>
      <c r="G249" s="100"/>
      <c r="H249" s="100"/>
    </row>
    <row r="250" customHeight="1" spans="2:8">
      <c r="B250" s="98"/>
      <c r="C250" s="98"/>
      <c r="D250" s="98"/>
      <c r="E250" s="98"/>
      <c r="F250" s="99"/>
      <c r="G250" s="100"/>
      <c r="H250" s="100"/>
    </row>
    <row r="251" customHeight="1" spans="2:8">
      <c r="B251" s="98"/>
      <c r="C251" s="98"/>
      <c r="D251" s="98"/>
      <c r="E251" s="98"/>
      <c r="F251" s="99"/>
      <c r="G251" s="100"/>
      <c r="H251" s="100"/>
    </row>
    <row r="252" customHeight="1" spans="2:8">
      <c r="B252" s="98"/>
      <c r="C252" s="98"/>
      <c r="D252" s="98"/>
      <c r="E252" s="98"/>
      <c r="F252" s="99"/>
      <c r="G252" s="100"/>
      <c r="H252" s="100"/>
    </row>
    <row r="253" customHeight="1" spans="2:8">
      <c r="B253" s="98"/>
      <c r="C253" s="98"/>
      <c r="D253" s="98"/>
      <c r="E253" s="98"/>
      <c r="F253" s="99"/>
      <c r="G253" s="100"/>
      <c r="H253" s="100"/>
    </row>
    <row r="254" customHeight="1" spans="2:8">
      <c r="B254" s="98"/>
      <c r="C254" s="98"/>
      <c r="D254" s="98"/>
      <c r="E254" s="98"/>
      <c r="F254" s="99"/>
      <c r="G254" s="100"/>
      <c r="H254" s="100"/>
    </row>
    <row r="255" customHeight="1" spans="2:8">
      <c r="B255" s="98"/>
      <c r="C255" s="98"/>
      <c r="D255" s="98"/>
      <c r="E255" s="98"/>
      <c r="F255" s="99"/>
      <c r="G255" s="100"/>
      <c r="H255" s="100"/>
    </row>
    <row r="256" customHeight="1" spans="2:8">
      <c r="B256" s="98"/>
      <c r="C256" s="98"/>
      <c r="D256" s="98"/>
      <c r="E256" s="98"/>
      <c r="F256" s="99"/>
      <c r="G256" s="100"/>
      <c r="H256" s="100"/>
    </row>
    <row r="257" customHeight="1" spans="2:8">
      <c r="B257" s="98"/>
      <c r="C257" s="98"/>
      <c r="D257" s="98"/>
      <c r="E257" s="98"/>
      <c r="F257" s="99"/>
      <c r="G257" s="100"/>
      <c r="H257" s="100"/>
    </row>
    <row r="258" customHeight="1" spans="2:8">
      <c r="B258" s="98"/>
      <c r="C258" s="98"/>
      <c r="D258" s="98"/>
      <c r="E258" s="98"/>
      <c r="F258" s="99"/>
      <c r="G258" s="100"/>
      <c r="H258" s="100"/>
    </row>
    <row r="259" customHeight="1" spans="2:8">
      <c r="B259" s="98"/>
      <c r="C259" s="98"/>
      <c r="D259" s="98"/>
      <c r="E259" s="98"/>
      <c r="F259" s="99"/>
      <c r="G259" s="100"/>
      <c r="H259" s="100"/>
    </row>
    <row r="260" customHeight="1" spans="2:8">
      <c r="B260" s="98"/>
      <c r="C260" s="98"/>
      <c r="D260" s="98"/>
      <c r="E260" s="98"/>
      <c r="F260" s="99"/>
      <c r="G260" s="100"/>
      <c r="H260" s="100"/>
    </row>
    <row r="261" customHeight="1" spans="2:8">
      <c r="B261" s="98"/>
      <c r="C261" s="98"/>
      <c r="D261" s="98"/>
      <c r="E261" s="98"/>
      <c r="F261" s="99"/>
      <c r="G261" s="100"/>
      <c r="H261" s="100"/>
    </row>
    <row r="262" customHeight="1" spans="2:8">
      <c r="B262" s="98"/>
      <c r="C262" s="98"/>
      <c r="D262" s="98"/>
      <c r="E262" s="98"/>
      <c r="F262" s="99"/>
      <c r="G262" s="100"/>
      <c r="H262" s="100"/>
    </row>
    <row r="263" customHeight="1" spans="2:8">
      <c r="B263" s="98"/>
      <c r="C263" s="98"/>
      <c r="D263" s="98"/>
      <c r="E263" s="98"/>
      <c r="F263" s="99"/>
      <c r="G263" s="100"/>
      <c r="H263" s="100"/>
    </row>
    <row r="264" customHeight="1" spans="2:8">
      <c r="B264" s="98"/>
      <c r="C264" s="98"/>
      <c r="D264" s="98"/>
      <c r="E264" s="98"/>
      <c r="F264" s="99"/>
      <c r="G264" s="100"/>
      <c r="H264" s="100"/>
    </row>
    <row r="265" customHeight="1" spans="2:8">
      <c r="B265" s="98"/>
      <c r="C265" s="98"/>
      <c r="D265" s="98"/>
      <c r="E265" s="98"/>
      <c r="F265" s="99"/>
      <c r="G265" s="100"/>
      <c r="H265" s="100"/>
    </row>
    <row r="266" customHeight="1" spans="2:8">
      <c r="B266" s="98"/>
      <c r="C266" s="98"/>
      <c r="D266" s="98"/>
      <c r="E266" s="98"/>
      <c r="F266" s="99"/>
      <c r="G266" s="100"/>
      <c r="H266" s="100"/>
    </row>
    <row r="267" customHeight="1" spans="2:8">
      <c r="B267" s="98"/>
      <c r="C267" s="98"/>
      <c r="D267" s="98"/>
      <c r="E267" s="98"/>
      <c r="F267" s="99"/>
      <c r="G267" s="100"/>
      <c r="H267" s="100"/>
    </row>
    <row r="268" customHeight="1" spans="2:8">
      <c r="B268" s="98"/>
      <c r="C268" s="98"/>
      <c r="D268" s="98"/>
      <c r="E268" s="98"/>
      <c r="F268" s="99"/>
      <c r="G268" s="100"/>
      <c r="H268" s="100"/>
    </row>
    <row r="269" customHeight="1" spans="2:8">
      <c r="B269" s="98"/>
      <c r="C269" s="98"/>
      <c r="D269" s="98"/>
      <c r="E269" s="98"/>
      <c r="F269" s="99"/>
      <c r="G269" s="100"/>
      <c r="H269" s="100"/>
    </row>
    <row r="270" customHeight="1" spans="2:8">
      <c r="B270" s="98"/>
      <c r="C270" s="98"/>
      <c r="D270" s="98"/>
      <c r="E270" s="98"/>
      <c r="F270" s="99"/>
      <c r="G270" s="100"/>
      <c r="H270" s="100"/>
    </row>
    <row r="271" customHeight="1" spans="2:8">
      <c r="B271" s="98"/>
      <c r="C271" s="98"/>
      <c r="D271" s="98"/>
      <c r="E271" s="98"/>
      <c r="F271" s="99"/>
      <c r="G271" s="100"/>
      <c r="H271" s="100"/>
    </row>
    <row r="272" customHeight="1" spans="2:8">
      <c r="B272" s="98"/>
      <c r="C272" s="98"/>
      <c r="D272" s="98"/>
      <c r="E272" s="98"/>
      <c r="F272" s="99"/>
      <c r="G272" s="100"/>
      <c r="H272" s="100"/>
    </row>
    <row r="273" customHeight="1" spans="2:8">
      <c r="B273" s="98"/>
      <c r="C273" s="98"/>
      <c r="D273" s="98"/>
      <c r="E273" s="98"/>
      <c r="F273" s="99"/>
      <c r="G273" s="100"/>
      <c r="H273" s="100"/>
    </row>
    <row r="274" customHeight="1" spans="2:8">
      <c r="B274" s="98"/>
      <c r="C274" s="98"/>
      <c r="D274" s="98"/>
      <c r="E274" s="98"/>
      <c r="F274" s="99"/>
      <c r="G274" s="100"/>
      <c r="H274" s="100"/>
    </row>
    <row r="275" customHeight="1" spans="2:8">
      <c r="B275" s="98"/>
      <c r="C275" s="98"/>
      <c r="D275" s="98"/>
      <c r="E275" s="98"/>
      <c r="F275" s="99"/>
      <c r="G275" s="100"/>
      <c r="H275" s="100"/>
    </row>
    <row r="276" customHeight="1" spans="2:8">
      <c r="B276" s="98"/>
      <c r="C276" s="98"/>
      <c r="D276" s="98"/>
      <c r="E276" s="98"/>
      <c r="F276" s="99"/>
      <c r="G276" s="100"/>
      <c r="H276" s="100"/>
    </row>
    <row r="277" customHeight="1" spans="2:8">
      <c r="B277" s="98"/>
      <c r="C277" s="98"/>
      <c r="D277" s="98"/>
      <c r="E277" s="98"/>
      <c r="F277" s="99"/>
      <c r="G277" s="100"/>
      <c r="H277" s="100"/>
    </row>
    <row r="278" customHeight="1" spans="2:8">
      <c r="B278" s="98"/>
      <c r="C278" s="98"/>
      <c r="D278" s="98"/>
      <c r="E278" s="98"/>
      <c r="F278" s="99"/>
      <c r="G278" s="100"/>
      <c r="H278" s="100"/>
    </row>
    <row r="279" customHeight="1" spans="2:8">
      <c r="B279" s="98"/>
      <c r="C279" s="98"/>
      <c r="D279" s="98"/>
      <c r="E279" s="98"/>
      <c r="F279" s="99"/>
      <c r="G279" s="100"/>
      <c r="H279" s="100"/>
    </row>
    <row r="280" customHeight="1" spans="2:8">
      <c r="B280" s="98"/>
      <c r="C280" s="98"/>
      <c r="D280" s="98"/>
      <c r="E280" s="98"/>
      <c r="F280" s="99"/>
      <c r="G280" s="100"/>
      <c r="H280" s="100"/>
    </row>
    <row r="281" customHeight="1" spans="2:8">
      <c r="B281" s="98"/>
      <c r="C281" s="98"/>
      <c r="D281" s="98"/>
      <c r="E281" s="98"/>
      <c r="F281" s="99"/>
      <c r="G281" s="100"/>
      <c r="H281" s="100"/>
    </row>
    <row r="282" customHeight="1" spans="2:8">
      <c r="B282" s="98"/>
      <c r="C282" s="98"/>
      <c r="D282" s="98"/>
      <c r="E282" s="98"/>
      <c r="F282" s="99"/>
      <c r="G282" s="100"/>
      <c r="H282" s="100"/>
    </row>
    <row r="283" customHeight="1" spans="2:8">
      <c r="B283" s="98"/>
      <c r="C283" s="98"/>
      <c r="D283" s="98"/>
      <c r="E283" s="98"/>
      <c r="F283" s="99"/>
      <c r="G283" s="100"/>
      <c r="H283" s="100"/>
    </row>
    <row r="284" customHeight="1" spans="2:8">
      <c r="B284" s="98"/>
      <c r="C284" s="98"/>
      <c r="D284" s="98"/>
      <c r="E284" s="98"/>
      <c r="F284" s="99"/>
      <c r="G284" s="100"/>
      <c r="H284" s="100"/>
    </row>
    <row r="285" customHeight="1" spans="2:8">
      <c r="B285" s="98"/>
      <c r="C285" s="98"/>
      <c r="D285" s="98"/>
      <c r="E285" s="98"/>
      <c r="F285" s="99"/>
      <c r="G285" s="100"/>
      <c r="H285" s="100"/>
    </row>
    <row r="286" customHeight="1" spans="2:8">
      <c r="B286" s="98"/>
      <c r="C286" s="98"/>
      <c r="D286" s="98"/>
      <c r="E286" s="98"/>
      <c r="F286" s="99"/>
      <c r="G286" s="100"/>
      <c r="H286" s="100"/>
    </row>
    <row r="287" customHeight="1" spans="2:8">
      <c r="B287" s="98"/>
      <c r="C287" s="98"/>
      <c r="D287" s="98"/>
      <c r="E287" s="98"/>
      <c r="F287" s="99"/>
      <c r="G287" s="100"/>
      <c r="H287" s="100"/>
    </row>
    <row r="288" customHeight="1" spans="2:8">
      <c r="B288" s="98"/>
      <c r="C288" s="98"/>
      <c r="D288" s="98"/>
      <c r="E288" s="98"/>
      <c r="F288" s="99"/>
      <c r="G288" s="100"/>
      <c r="H288" s="100"/>
    </row>
    <row r="289" customHeight="1" spans="2:8">
      <c r="B289" s="98"/>
      <c r="C289" s="98"/>
      <c r="D289" s="98"/>
      <c r="E289" s="98"/>
      <c r="F289" s="99"/>
      <c r="G289" s="100"/>
      <c r="H289" s="100"/>
    </row>
    <row r="290" customHeight="1" spans="2:8">
      <c r="B290" s="98"/>
      <c r="C290" s="98"/>
      <c r="D290" s="98"/>
      <c r="E290" s="98"/>
      <c r="F290" s="99"/>
      <c r="G290" s="100"/>
      <c r="H290" s="100"/>
    </row>
    <row r="291" customHeight="1" spans="2:8">
      <c r="B291" s="98"/>
      <c r="C291" s="98"/>
      <c r="D291" s="98"/>
      <c r="E291" s="98"/>
      <c r="F291" s="99"/>
      <c r="G291" s="100"/>
      <c r="H291" s="100"/>
    </row>
    <row r="292" customHeight="1" spans="2:8">
      <c r="B292" s="98"/>
      <c r="C292" s="98"/>
      <c r="D292" s="98"/>
      <c r="E292" s="98"/>
      <c r="F292" s="99"/>
      <c r="G292" s="100"/>
      <c r="H292" s="100"/>
    </row>
    <row r="293" customHeight="1" spans="2:8">
      <c r="B293" s="98"/>
      <c r="C293" s="98"/>
      <c r="D293" s="98"/>
      <c r="E293" s="98"/>
      <c r="F293" s="99"/>
      <c r="G293" s="100"/>
      <c r="H293" s="100"/>
    </row>
    <row r="294" customHeight="1" spans="2:8">
      <c r="B294" s="98"/>
      <c r="C294" s="98"/>
      <c r="D294" s="98"/>
      <c r="E294" s="98"/>
      <c r="F294" s="99"/>
      <c r="G294" s="100"/>
      <c r="H294" s="100"/>
    </row>
    <row r="295" customHeight="1" spans="2:8">
      <c r="B295" s="98"/>
      <c r="C295" s="98"/>
      <c r="D295" s="98"/>
      <c r="E295" s="98"/>
      <c r="F295" s="99"/>
      <c r="G295" s="100"/>
      <c r="H295" s="100"/>
    </row>
    <row r="296" customHeight="1" spans="2:8">
      <c r="B296" s="98"/>
      <c r="C296" s="98"/>
      <c r="D296" s="98"/>
      <c r="E296" s="98"/>
      <c r="F296" s="99"/>
      <c r="G296" s="100"/>
      <c r="H296" s="100"/>
    </row>
    <row r="297" customHeight="1" spans="2:8">
      <c r="B297" s="98"/>
      <c r="C297" s="98"/>
      <c r="D297" s="98"/>
      <c r="E297" s="98"/>
      <c r="F297" s="99"/>
      <c r="G297" s="100"/>
      <c r="H297" s="100"/>
    </row>
    <row r="298" customHeight="1" spans="2:8">
      <c r="B298" s="98"/>
      <c r="C298" s="98"/>
      <c r="D298" s="98"/>
      <c r="E298" s="98"/>
      <c r="F298" s="99"/>
      <c r="G298" s="100"/>
      <c r="H298" s="100"/>
    </row>
    <row r="299" customHeight="1" spans="2:8">
      <c r="B299" s="98"/>
      <c r="C299" s="98"/>
      <c r="D299" s="98"/>
      <c r="E299" s="98"/>
      <c r="F299" s="99"/>
      <c r="G299" s="100"/>
      <c r="H299" s="100"/>
    </row>
    <row r="300" customHeight="1" spans="2:8">
      <c r="B300" s="98"/>
      <c r="C300" s="98"/>
      <c r="D300" s="98"/>
      <c r="E300" s="98"/>
      <c r="F300" s="99"/>
      <c r="G300" s="100"/>
      <c r="H300" s="100"/>
    </row>
    <row r="301" customHeight="1" spans="2:8">
      <c r="B301" s="98"/>
      <c r="C301" s="98"/>
      <c r="D301" s="98"/>
      <c r="E301" s="98"/>
      <c r="F301" s="99"/>
      <c r="G301" s="100"/>
      <c r="H301" s="100"/>
    </row>
    <row r="302" customHeight="1" spans="2:8">
      <c r="B302" s="98"/>
      <c r="C302" s="98"/>
      <c r="D302" s="98"/>
      <c r="E302" s="98"/>
      <c r="F302" s="99"/>
      <c r="G302" s="100"/>
      <c r="H302" s="100"/>
    </row>
    <row r="303" customHeight="1" spans="2:8">
      <c r="B303" s="98"/>
      <c r="C303" s="98"/>
      <c r="D303" s="98"/>
      <c r="E303" s="98"/>
      <c r="F303" s="99"/>
      <c r="G303" s="100"/>
      <c r="H303" s="100"/>
    </row>
    <row r="304" customHeight="1" spans="2:8">
      <c r="B304" s="98"/>
      <c r="C304" s="98"/>
      <c r="D304" s="98"/>
      <c r="E304" s="98"/>
      <c r="F304" s="99"/>
      <c r="G304" s="100"/>
      <c r="H304" s="100"/>
    </row>
    <row r="305" customHeight="1" spans="2:8">
      <c r="B305" s="98"/>
      <c r="C305" s="98"/>
      <c r="D305" s="98"/>
      <c r="E305" s="98"/>
      <c r="F305" s="99"/>
      <c r="G305" s="100"/>
      <c r="H305" s="100"/>
    </row>
    <row r="306" customHeight="1" spans="2:8">
      <c r="B306" s="98"/>
      <c r="C306" s="98"/>
      <c r="D306" s="98"/>
      <c r="E306" s="98"/>
      <c r="F306" s="99"/>
      <c r="G306" s="100"/>
      <c r="H306" s="100"/>
    </row>
    <row r="307" customHeight="1" spans="2:8">
      <c r="B307" s="98"/>
      <c r="C307" s="98"/>
      <c r="D307" s="98"/>
      <c r="E307" s="98"/>
      <c r="F307" s="99"/>
      <c r="G307" s="100"/>
      <c r="H307" s="100"/>
    </row>
    <row r="308" customHeight="1" spans="2:8">
      <c r="B308" s="98"/>
      <c r="C308" s="98"/>
      <c r="D308" s="98"/>
      <c r="E308" s="98"/>
      <c r="F308" s="99"/>
      <c r="G308" s="100"/>
      <c r="H308" s="100"/>
    </row>
    <row r="309" customHeight="1" spans="2:8">
      <c r="B309" s="98"/>
      <c r="C309" s="98"/>
      <c r="D309" s="98"/>
      <c r="E309" s="98"/>
      <c r="F309" s="99"/>
      <c r="G309" s="100"/>
      <c r="H309" s="100"/>
    </row>
    <row r="310" customHeight="1" spans="2:8">
      <c r="B310" s="98"/>
      <c r="C310" s="98"/>
      <c r="D310" s="98"/>
      <c r="E310" s="98"/>
      <c r="F310" s="99"/>
      <c r="G310" s="100"/>
      <c r="H310" s="100"/>
    </row>
    <row r="311" customHeight="1" spans="2:8">
      <c r="B311" s="98"/>
      <c r="C311" s="98"/>
      <c r="D311" s="98"/>
      <c r="E311" s="98"/>
      <c r="F311" s="99"/>
      <c r="G311" s="100"/>
      <c r="H311" s="100"/>
    </row>
    <row r="312" customHeight="1" spans="2:8">
      <c r="B312" s="98"/>
      <c r="C312" s="98"/>
      <c r="D312" s="98"/>
      <c r="E312" s="98"/>
      <c r="F312" s="99"/>
      <c r="G312" s="100"/>
      <c r="H312" s="100"/>
    </row>
    <row r="313" customHeight="1" spans="2:8">
      <c r="B313" s="98"/>
      <c r="C313" s="98"/>
      <c r="D313" s="98"/>
      <c r="E313" s="98"/>
      <c r="F313" s="99"/>
      <c r="G313" s="100"/>
      <c r="H313" s="100"/>
    </row>
    <row r="314" customHeight="1" spans="2:8">
      <c r="B314" s="98"/>
      <c r="C314" s="98"/>
      <c r="D314" s="98"/>
      <c r="E314" s="98"/>
      <c r="F314" s="99"/>
      <c r="G314" s="100"/>
      <c r="H314" s="100"/>
    </row>
    <row r="315" customHeight="1" spans="2:8">
      <c r="B315" s="98"/>
      <c r="C315" s="98"/>
      <c r="D315" s="98"/>
      <c r="E315" s="98"/>
      <c r="F315" s="99"/>
      <c r="G315" s="100"/>
      <c r="H315" s="100"/>
    </row>
    <row r="316" customHeight="1" spans="2:8">
      <c r="B316" s="98"/>
      <c r="C316" s="98"/>
      <c r="D316" s="98"/>
      <c r="E316" s="98"/>
      <c r="F316" s="99"/>
      <c r="G316" s="100"/>
      <c r="H316" s="100"/>
    </row>
    <row r="317" customHeight="1" spans="2:8">
      <c r="B317" s="98"/>
      <c r="C317" s="98"/>
      <c r="D317" s="98"/>
      <c r="E317" s="98"/>
      <c r="F317" s="99"/>
      <c r="G317" s="100"/>
      <c r="H317" s="100"/>
    </row>
    <row r="318" customHeight="1" spans="2:8">
      <c r="B318" s="98"/>
      <c r="C318" s="98"/>
      <c r="D318" s="98"/>
      <c r="E318" s="98"/>
      <c r="F318" s="99"/>
      <c r="G318" s="100"/>
      <c r="H318" s="100"/>
    </row>
    <row r="319" customHeight="1" spans="2:8">
      <c r="B319" s="98"/>
      <c r="C319" s="98"/>
      <c r="D319" s="98"/>
      <c r="E319" s="98"/>
      <c r="F319" s="99"/>
      <c r="G319" s="100"/>
      <c r="H319" s="100"/>
    </row>
    <row r="320" customHeight="1" spans="2:8">
      <c r="B320" s="98"/>
      <c r="C320" s="98"/>
      <c r="D320" s="98"/>
      <c r="E320" s="98"/>
      <c r="F320" s="99"/>
      <c r="G320" s="100"/>
      <c r="H320" s="100"/>
    </row>
    <row r="321" customHeight="1" spans="2:8">
      <c r="B321" s="98"/>
      <c r="C321" s="98"/>
      <c r="D321" s="98"/>
      <c r="E321" s="98"/>
      <c r="F321" s="99"/>
      <c r="G321" s="100"/>
      <c r="H321" s="100"/>
    </row>
    <row r="322" customHeight="1" spans="2:8">
      <c r="B322" s="98"/>
      <c r="C322" s="98"/>
      <c r="D322" s="98"/>
      <c r="E322" s="98"/>
      <c r="F322" s="99"/>
      <c r="G322" s="100"/>
      <c r="H322" s="100"/>
    </row>
    <row r="323" customHeight="1" spans="2:8">
      <c r="B323" s="98"/>
      <c r="C323" s="98"/>
      <c r="D323" s="98"/>
      <c r="E323" s="98"/>
      <c r="F323" s="99"/>
      <c r="G323" s="100"/>
      <c r="H323" s="100"/>
    </row>
    <row r="324" customHeight="1" spans="2:8">
      <c r="B324" s="98"/>
      <c r="C324" s="98"/>
      <c r="D324" s="98"/>
      <c r="E324" s="98"/>
      <c r="F324" s="99"/>
      <c r="G324" s="100"/>
      <c r="H324" s="100"/>
    </row>
    <row r="325" customHeight="1" spans="2:8">
      <c r="B325" s="98"/>
      <c r="C325" s="98"/>
      <c r="D325" s="98"/>
      <c r="E325" s="98"/>
      <c r="F325" s="99"/>
      <c r="G325" s="100"/>
      <c r="H325" s="100"/>
    </row>
    <row r="326" customHeight="1" spans="2:8">
      <c r="B326" s="98"/>
      <c r="C326" s="98"/>
      <c r="D326" s="98"/>
      <c r="E326" s="98"/>
      <c r="F326" s="99"/>
      <c r="G326" s="100"/>
      <c r="H326" s="100"/>
    </row>
    <row r="327" customHeight="1" spans="2:8">
      <c r="B327" s="98"/>
      <c r="C327" s="98"/>
      <c r="D327" s="98"/>
      <c r="E327" s="98"/>
      <c r="F327" s="99"/>
      <c r="G327" s="100"/>
      <c r="H327" s="100"/>
    </row>
    <row r="328" customHeight="1" spans="2:8">
      <c r="B328" s="98"/>
      <c r="C328" s="98"/>
      <c r="D328" s="98"/>
      <c r="E328" s="98"/>
      <c r="F328" s="99"/>
      <c r="G328" s="100"/>
      <c r="H328" s="100"/>
    </row>
    <row r="329" customHeight="1" spans="2:8">
      <c r="B329" s="98"/>
      <c r="C329" s="98"/>
      <c r="D329" s="98"/>
      <c r="E329" s="98"/>
      <c r="F329" s="99"/>
      <c r="G329" s="100"/>
      <c r="H329" s="100"/>
    </row>
    <row r="330" customHeight="1" spans="2:8">
      <c r="B330" s="98"/>
      <c r="C330" s="98"/>
      <c r="D330" s="98"/>
      <c r="E330" s="98"/>
      <c r="F330" s="99"/>
      <c r="G330" s="100"/>
      <c r="H330" s="100"/>
    </row>
    <row r="331" customHeight="1" spans="2:8">
      <c r="B331" s="98"/>
      <c r="C331" s="98"/>
      <c r="D331" s="98"/>
      <c r="E331" s="98"/>
      <c r="F331" s="99"/>
      <c r="G331" s="100"/>
      <c r="H331" s="100"/>
    </row>
    <row r="332" customHeight="1" spans="2:8">
      <c r="B332" s="98"/>
      <c r="C332" s="98"/>
      <c r="D332" s="98"/>
      <c r="E332" s="98"/>
      <c r="F332" s="99"/>
      <c r="G332" s="100"/>
      <c r="H332" s="100"/>
    </row>
    <row r="333" customHeight="1" spans="2:8">
      <c r="B333" s="98"/>
      <c r="C333" s="98"/>
      <c r="D333" s="98"/>
      <c r="E333" s="98"/>
      <c r="F333" s="99"/>
      <c r="G333" s="100"/>
      <c r="H333" s="100"/>
    </row>
    <row r="334" customHeight="1" spans="2:8">
      <c r="B334" s="98"/>
      <c r="C334" s="98"/>
      <c r="D334" s="98"/>
      <c r="E334" s="98"/>
      <c r="F334" s="99"/>
      <c r="G334" s="100"/>
      <c r="H334" s="100"/>
    </row>
    <row r="335" customHeight="1" spans="2:8">
      <c r="B335" s="98"/>
      <c r="C335" s="98"/>
      <c r="D335" s="98"/>
      <c r="E335" s="98"/>
      <c r="F335" s="99"/>
      <c r="G335" s="100"/>
      <c r="H335" s="100"/>
    </row>
    <row r="336" customHeight="1" spans="2:8">
      <c r="B336" s="98"/>
      <c r="C336" s="98"/>
      <c r="D336" s="98"/>
      <c r="E336" s="98"/>
      <c r="F336" s="99"/>
      <c r="G336" s="100"/>
      <c r="H336" s="100"/>
    </row>
    <row r="337" customHeight="1" spans="2:8">
      <c r="B337" s="98"/>
      <c r="C337" s="98"/>
      <c r="D337" s="98"/>
      <c r="E337" s="98"/>
      <c r="F337" s="99"/>
      <c r="G337" s="100"/>
      <c r="H337" s="100"/>
    </row>
    <row r="338" customHeight="1" spans="2:8">
      <c r="B338" s="98"/>
      <c r="C338" s="98"/>
      <c r="D338" s="98"/>
      <c r="E338" s="98"/>
      <c r="F338" s="99"/>
      <c r="G338" s="100"/>
      <c r="H338" s="100"/>
    </row>
    <row r="339" customHeight="1" spans="2:8">
      <c r="B339" s="98"/>
      <c r="C339" s="98"/>
      <c r="D339" s="98"/>
      <c r="E339" s="98"/>
      <c r="F339" s="99"/>
      <c r="G339" s="100"/>
      <c r="H339" s="100"/>
    </row>
    <row r="340" customHeight="1" spans="2:8">
      <c r="B340" s="98"/>
      <c r="C340" s="98"/>
      <c r="D340" s="98"/>
      <c r="E340" s="98"/>
      <c r="F340" s="99"/>
      <c r="G340" s="100"/>
      <c r="H340" s="100"/>
    </row>
    <row r="341" customHeight="1" spans="2:8">
      <c r="B341" s="98"/>
      <c r="C341" s="98"/>
      <c r="D341" s="98"/>
      <c r="E341" s="98"/>
      <c r="F341" s="99"/>
      <c r="G341" s="100"/>
      <c r="H341" s="100"/>
    </row>
    <row r="342" customHeight="1" spans="2:8">
      <c r="B342" s="98"/>
      <c r="C342" s="98"/>
      <c r="D342" s="98"/>
      <c r="E342" s="98"/>
      <c r="F342" s="99"/>
      <c r="G342" s="100"/>
      <c r="H342" s="100"/>
    </row>
    <row r="343" customHeight="1" spans="2:8">
      <c r="B343" s="98"/>
      <c r="C343" s="98"/>
      <c r="D343" s="98"/>
      <c r="E343" s="98"/>
      <c r="F343" s="99"/>
      <c r="G343" s="100"/>
      <c r="H343" s="100"/>
    </row>
    <row r="344" customHeight="1" spans="2:8">
      <c r="B344" s="98"/>
      <c r="C344" s="98"/>
      <c r="D344" s="98"/>
      <c r="E344" s="98"/>
      <c r="F344" s="99"/>
      <c r="G344" s="100"/>
      <c r="H344" s="100"/>
    </row>
    <row r="345" customHeight="1" spans="2:8">
      <c r="B345" s="98"/>
      <c r="C345" s="98"/>
      <c r="D345" s="98"/>
      <c r="E345" s="98"/>
      <c r="F345" s="99"/>
      <c r="G345" s="100"/>
      <c r="H345" s="100"/>
    </row>
    <row r="346" customHeight="1" spans="2:8">
      <c r="B346" s="98"/>
      <c r="C346" s="98"/>
      <c r="D346" s="98"/>
      <c r="E346" s="98"/>
      <c r="F346" s="99"/>
      <c r="G346" s="100"/>
      <c r="H346" s="100"/>
    </row>
    <row r="347" customHeight="1" spans="2:8">
      <c r="B347" s="98"/>
      <c r="C347" s="98"/>
      <c r="D347" s="98"/>
      <c r="E347" s="98"/>
      <c r="F347" s="99"/>
      <c r="G347" s="100"/>
      <c r="H347" s="100"/>
    </row>
    <row r="348" customHeight="1" spans="2:8">
      <c r="B348" s="98"/>
      <c r="C348" s="98"/>
      <c r="D348" s="98"/>
      <c r="E348" s="98"/>
      <c r="F348" s="99"/>
      <c r="G348" s="100"/>
      <c r="H348" s="100"/>
    </row>
    <row r="349" customHeight="1" spans="2:8">
      <c r="B349" s="98"/>
      <c r="C349" s="98"/>
      <c r="D349" s="98"/>
      <c r="E349" s="98"/>
      <c r="F349" s="99"/>
      <c r="G349" s="100"/>
      <c r="H349" s="100"/>
    </row>
    <row r="350" customHeight="1" spans="2:8">
      <c r="B350" s="98"/>
      <c r="C350" s="98"/>
      <c r="D350" s="98"/>
      <c r="E350" s="98"/>
      <c r="F350" s="99"/>
      <c r="G350" s="100"/>
      <c r="H350" s="100"/>
    </row>
    <row r="351" customHeight="1" spans="2:8">
      <c r="B351" s="98"/>
      <c r="C351" s="98"/>
      <c r="D351" s="98"/>
      <c r="E351" s="98"/>
      <c r="F351" s="99"/>
      <c r="G351" s="100"/>
      <c r="H351" s="100"/>
    </row>
    <row r="352" customHeight="1" spans="2:8">
      <c r="B352" s="98"/>
      <c r="C352" s="98"/>
      <c r="D352" s="98"/>
      <c r="E352" s="98"/>
      <c r="F352" s="99"/>
      <c r="G352" s="100"/>
      <c r="H352" s="100"/>
    </row>
    <row r="353" customHeight="1" spans="2:8">
      <c r="B353" s="98"/>
      <c r="C353" s="98"/>
      <c r="D353" s="98"/>
      <c r="E353" s="98"/>
      <c r="F353" s="99"/>
      <c r="G353" s="100"/>
      <c r="H353" s="100"/>
    </row>
    <row r="354" customHeight="1" spans="2:8">
      <c r="B354" s="98"/>
      <c r="C354" s="98"/>
      <c r="D354" s="98"/>
      <c r="E354" s="98"/>
      <c r="F354" s="99"/>
      <c r="G354" s="100"/>
      <c r="H354" s="100"/>
    </row>
    <row r="355" customHeight="1" spans="2:8">
      <c r="B355" s="98"/>
      <c r="C355" s="98"/>
      <c r="D355" s="98"/>
      <c r="E355" s="98"/>
      <c r="F355" s="99"/>
      <c r="G355" s="100"/>
      <c r="H355" s="100"/>
    </row>
    <row r="356" customHeight="1" spans="2:8">
      <c r="B356" s="98"/>
      <c r="C356" s="98"/>
      <c r="D356" s="98"/>
      <c r="E356" s="98"/>
      <c r="F356" s="99"/>
      <c r="G356" s="100"/>
      <c r="H356" s="100"/>
    </row>
    <row r="357" customHeight="1" spans="2:8">
      <c r="B357" s="98"/>
      <c r="C357" s="98"/>
      <c r="D357" s="98"/>
      <c r="E357" s="98"/>
      <c r="F357" s="99"/>
      <c r="G357" s="100"/>
      <c r="H357" s="100"/>
    </row>
    <row r="358" customHeight="1" spans="2:8">
      <c r="B358" s="98"/>
      <c r="C358" s="98"/>
      <c r="D358" s="98"/>
      <c r="E358" s="98"/>
      <c r="F358" s="99"/>
      <c r="G358" s="100"/>
      <c r="H358" s="100"/>
    </row>
    <row r="359" customHeight="1" spans="2:8">
      <c r="B359" s="98"/>
      <c r="C359" s="98"/>
      <c r="D359" s="98"/>
      <c r="E359" s="98"/>
      <c r="F359" s="99"/>
      <c r="G359" s="100"/>
      <c r="H359" s="100"/>
    </row>
    <row r="360" customHeight="1" spans="2:8">
      <c r="B360" s="98"/>
      <c r="C360" s="98"/>
      <c r="D360" s="98"/>
      <c r="E360" s="98"/>
      <c r="F360" s="99"/>
      <c r="G360" s="100"/>
      <c r="H360" s="100"/>
    </row>
    <row r="361" customHeight="1" spans="2:8">
      <c r="B361" s="98"/>
      <c r="C361" s="98"/>
      <c r="D361" s="98"/>
      <c r="E361" s="98"/>
      <c r="F361" s="99"/>
      <c r="G361" s="100"/>
      <c r="H361" s="100"/>
    </row>
    <row r="362" customHeight="1" spans="2:8">
      <c r="B362" s="98"/>
      <c r="C362" s="98"/>
      <c r="D362" s="98"/>
      <c r="E362" s="98"/>
      <c r="F362" s="99"/>
      <c r="G362" s="100"/>
      <c r="H362" s="100"/>
    </row>
    <row r="363" customHeight="1" spans="2:8">
      <c r="B363" s="98"/>
      <c r="C363" s="98"/>
      <c r="D363" s="98"/>
      <c r="E363" s="98"/>
      <c r="F363" s="99"/>
      <c r="G363" s="100"/>
      <c r="H363" s="100"/>
    </row>
    <row r="364" customHeight="1" spans="2:8">
      <c r="B364" s="98"/>
      <c r="C364" s="98"/>
      <c r="D364" s="98"/>
      <c r="E364" s="98"/>
      <c r="F364" s="99"/>
      <c r="G364" s="100"/>
      <c r="H364" s="100"/>
    </row>
    <row r="365" customHeight="1" spans="2:8">
      <c r="B365" s="98"/>
      <c r="C365" s="98"/>
      <c r="D365" s="98"/>
      <c r="E365" s="98"/>
      <c r="F365" s="99"/>
      <c r="G365" s="100"/>
      <c r="H365" s="100"/>
    </row>
    <row r="366" customHeight="1" spans="2:8">
      <c r="B366" s="98"/>
      <c r="C366" s="98"/>
      <c r="D366" s="98"/>
      <c r="E366" s="98"/>
      <c r="F366" s="99"/>
      <c r="G366" s="100"/>
      <c r="H366" s="100"/>
    </row>
    <row r="367" customHeight="1" spans="2:8">
      <c r="B367" s="98"/>
      <c r="C367" s="98"/>
      <c r="D367" s="98"/>
      <c r="E367" s="98"/>
      <c r="F367" s="99"/>
      <c r="G367" s="100"/>
      <c r="H367" s="100"/>
    </row>
    <row r="368" customHeight="1" spans="2:8">
      <c r="B368" s="98"/>
      <c r="C368" s="98"/>
      <c r="D368" s="98"/>
      <c r="E368" s="98"/>
      <c r="F368" s="99"/>
      <c r="G368" s="100"/>
      <c r="H368" s="100"/>
    </row>
    <row r="369" customHeight="1" spans="2:8">
      <c r="B369" s="98"/>
      <c r="C369" s="98"/>
      <c r="D369" s="98"/>
      <c r="E369" s="98"/>
      <c r="F369" s="99"/>
      <c r="G369" s="100"/>
      <c r="H369" s="100"/>
    </row>
    <row r="370" customHeight="1" spans="2:8">
      <c r="B370" s="98"/>
      <c r="C370" s="98"/>
      <c r="D370" s="98"/>
      <c r="E370" s="98"/>
      <c r="F370" s="99"/>
      <c r="G370" s="100"/>
      <c r="H370" s="100"/>
    </row>
    <row r="371" customHeight="1" spans="2:8">
      <c r="B371" s="98"/>
      <c r="C371" s="98"/>
      <c r="D371" s="98"/>
      <c r="E371" s="98"/>
      <c r="F371" s="99"/>
      <c r="G371" s="100"/>
      <c r="H371" s="100"/>
    </row>
    <row r="372" customHeight="1" spans="2:8">
      <c r="B372" s="98"/>
      <c r="C372" s="98"/>
      <c r="D372" s="98"/>
      <c r="E372" s="98"/>
      <c r="F372" s="99"/>
      <c r="G372" s="100"/>
      <c r="H372" s="100"/>
    </row>
    <row r="373" customHeight="1" spans="2:8">
      <c r="B373" s="98"/>
      <c r="C373" s="98"/>
      <c r="D373" s="98"/>
      <c r="E373" s="98"/>
      <c r="F373" s="99"/>
      <c r="G373" s="100"/>
      <c r="H373" s="100"/>
    </row>
    <row r="374" customHeight="1" spans="2:8">
      <c r="B374" s="98"/>
      <c r="C374" s="98"/>
      <c r="D374" s="98"/>
      <c r="E374" s="98"/>
      <c r="F374" s="99"/>
      <c r="G374" s="100"/>
      <c r="H374" s="100"/>
    </row>
    <row r="375" customHeight="1" spans="2:8">
      <c r="B375" s="98"/>
      <c r="C375" s="98"/>
      <c r="D375" s="98"/>
      <c r="E375" s="98"/>
      <c r="F375" s="99"/>
      <c r="G375" s="100"/>
      <c r="H375" s="100"/>
    </row>
    <row r="376" customHeight="1" spans="2:8">
      <c r="B376" s="98"/>
      <c r="C376" s="98"/>
      <c r="D376" s="98"/>
      <c r="E376" s="98"/>
      <c r="F376" s="99"/>
      <c r="G376" s="100"/>
      <c r="H376" s="100"/>
    </row>
    <row r="377" customHeight="1" spans="2:8">
      <c r="B377" s="98"/>
      <c r="C377" s="98"/>
      <c r="D377" s="98"/>
      <c r="E377" s="98"/>
      <c r="F377" s="99"/>
      <c r="G377" s="100"/>
      <c r="H377" s="100"/>
    </row>
    <row r="378" customHeight="1" spans="2:8">
      <c r="B378" s="98"/>
      <c r="C378" s="98"/>
      <c r="D378" s="98"/>
      <c r="E378" s="98"/>
      <c r="F378" s="99"/>
      <c r="G378" s="100"/>
      <c r="H378" s="100"/>
    </row>
    <row r="379" customHeight="1" spans="2:8">
      <c r="B379" s="98"/>
      <c r="C379" s="98"/>
      <c r="D379" s="98"/>
      <c r="E379" s="98"/>
      <c r="F379" s="99"/>
      <c r="G379" s="100"/>
      <c r="H379" s="100"/>
    </row>
    <row r="380" customHeight="1" spans="2:8">
      <c r="B380" s="98"/>
      <c r="C380" s="98"/>
      <c r="D380" s="98"/>
      <c r="E380" s="98"/>
      <c r="F380" s="99"/>
      <c r="G380" s="100"/>
      <c r="H380" s="100"/>
    </row>
    <row r="381" customHeight="1" spans="2:8">
      <c r="B381" s="98"/>
      <c r="C381" s="98"/>
      <c r="D381" s="98"/>
      <c r="E381" s="98"/>
      <c r="F381" s="99"/>
      <c r="G381" s="100"/>
      <c r="H381" s="100"/>
    </row>
    <row r="382" customHeight="1" spans="2:8">
      <c r="B382" s="98"/>
      <c r="C382" s="98"/>
      <c r="D382" s="98"/>
      <c r="E382" s="98"/>
      <c r="F382" s="99"/>
      <c r="G382" s="100"/>
      <c r="H382" s="100"/>
    </row>
    <row r="383" customHeight="1" spans="2:8">
      <c r="B383" s="98"/>
      <c r="C383" s="98"/>
      <c r="D383" s="98"/>
      <c r="E383" s="98"/>
      <c r="F383" s="99"/>
      <c r="G383" s="100"/>
      <c r="H383" s="100"/>
    </row>
    <row r="384" customHeight="1" spans="2:8">
      <c r="B384" s="98"/>
      <c r="C384" s="98"/>
      <c r="D384" s="98"/>
      <c r="E384" s="98"/>
      <c r="F384" s="99"/>
      <c r="G384" s="100"/>
      <c r="H384" s="100"/>
    </row>
    <row r="385" customHeight="1" spans="2:8">
      <c r="B385" s="98"/>
      <c r="C385" s="98"/>
      <c r="D385" s="98"/>
      <c r="E385" s="98"/>
      <c r="F385" s="99"/>
      <c r="G385" s="100"/>
      <c r="H385" s="100"/>
    </row>
    <row r="386" customHeight="1" spans="2:8">
      <c r="B386" s="98"/>
      <c r="C386" s="98"/>
      <c r="D386" s="98"/>
      <c r="E386" s="98"/>
      <c r="F386" s="99"/>
      <c r="G386" s="100"/>
      <c r="H386" s="100"/>
    </row>
    <row r="387" customHeight="1" spans="2:8">
      <c r="B387" s="98"/>
      <c r="C387" s="98"/>
      <c r="D387" s="98"/>
      <c r="E387" s="98"/>
      <c r="F387" s="99"/>
      <c r="G387" s="100"/>
      <c r="H387" s="100"/>
    </row>
    <row r="388" customHeight="1" spans="2:8">
      <c r="B388" s="98"/>
      <c r="C388" s="98"/>
      <c r="D388" s="98"/>
      <c r="E388" s="98"/>
      <c r="F388" s="99"/>
      <c r="G388" s="100"/>
      <c r="H388" s="100"/>
    </row>
    <row r="389" customHeight="1" spans="2:8">
      <c r="B389" s="98"/>
      <c r="C389" s="98"/>
      <c r="D389" s="98"/>
      <c r="E389" s="98"/>
      <c r="F389" s="99"/>
      <c r="G389" s="100"/>
      <c r="H389" s="100"/>
    </row>
    <row r="390" customHeight="1" spans="2:8">
      <c r="B390" s="98"/>
      <c r="C390" s="98"/>
      <c r="D390" s="98"/>
      <c r="E390" s="98"/>
      <c r="F390" s="99"/>
      <c r="G390" s="100"/>
      <c r="H390" s="100"/>
    </row>
    <row r="391" customHeight="1" spans="2:8">
      <c r="B391" s="98"/>
      <c r="C391" s="98"/>
      <c r="D391" s="98"/>
      <c r="E391" s="98"/>
      <c r="F391" s="99"/>
      <c r="G391" s="100"/>
      <c r="H391" s="100"/>
    </row>
    <row r="392" customHeight="1" spans="2:8">
      <c r="B392" s="98"/>
      <c r="C392" s="98"/>
      <c r="D392" s="98"/>
      <c r="E392" s="98"/>
      <c r="F392" s="99"/>
      <c r="G392" s="100"/>
      <c r="H392" s="100"/>
    </row>
    <row r="393" customHeight="1" spans="2:8">
      <c r="B393" s="98"/>
      <c r="C393" s="98"/>
      <c r="D393" s="98"/>
      <c r="E393" s="98"/>
      <c r="F393" s="99"/>
      <c r="G393" s="100"/>
      <c r="H393" s="100"/>
    </row>
    <row r="394" customHeight="1" spans="2:8">
      <c r="B394" s="98"/>
      <c r="C394" s="98"/>
      <c r="D394" s="98"/>
      <c r="E394" s="98"/>
      <c r="F394" s="99"/>
      <c r="G394" s="100"/>
      <c r="H394" s="100"/>
    </row>
    <row r="395" customHeight="1" spans="2:8">
      <c r="B395" s="98"/>
      <c r="C395" s="98"/>
      <c r="D395" s="98"/>
      <c r="E395" s="98"/>
      <c r="F395" s="99"/>
      <c r="G395" s="100"/>
      <c r="H395" s="100"/>
    </row>
    <row r="396" customHeight="1" spans="2:8">
      <c r="B396" s="98"/>
      <c r="C396" s="98"/>
      <c r="D396" s="98"/>
      <c r="E396" s="98"/>
      <c r="F396" s="99"/>
      <c r="G396" s="100"/>
      <c r="H396" s="100"/>
    </row>
    <row r="397" customHeight="1" spans="2:8">
      <c r="B397" s="98"/>
      <c r="C397" s="98"/>
      <c r="D397" s="98"/>
      <c r="E397" s="98"/>
      <c r="F397" s="99"/>
      <c r="G397" s="100"/>
      <c r="H397" s="100"/>
    </row>
    <row r="398" customHeight="1" spans="2:8">
      <c r="B398" s="98"/>
      <c r="C398" s="98"/>
      <c r="D398" s="98"/>
      <c r="E398" s="98"/>
      <c r="F398" s="99"/>
      <c r="G398" s="100"/>
      <c r="H398" s="100"/>
    </row>
    <row r="399" customHeight="1" spans="2:8">
      <c r="B399" s="98"/>
      <c r="C399" s="98"/>
      <c r="D399" s="98"/>
      <c r="E399" s="98"/>
      <c r="F399" s="99"/>
      <c r="G399" s="100"/>
      <c r="H399" s="100"/>
    </row>
    <row r="400" customHeight="1" spans="2:8">
      <c r="B400" s="98"/>
      <c r="C400" s="98"/>
      <c r="D400" s="98"/>
      <c r="E400" s="98"/>
      <c r="F400" s="99"/>
      <c r="G400" s="100"/>
      <c r="H400" s="100"/>
    </row>
    <row r="401" customHeight="1" spans="2:8">
      <c r="B401" s="98"/>
      <c r="C401" s="98"/>
      <c r="D401" s="98"/>
      <c r="E401" s="98"/>
      <c r="F401" s="99"/>
      <c r="G401" s="100"/>
      <c r="H401" s="100"/>
    </row>
    <row r="402" customHeight="1" spans="2:8">
      <c r="B402" s="98"/>
      <c r="C402" s="98"/>
      <c r="D402" s="98"/>
      <c r="E402" s="98"/>
      <c r="F402" s="99"/>
      <c r="G402" s="100"/>
      <c r="H402" s="100"/>
    </row>
    <row r="403" customHeight="1" spans="2:8">
      <c r="B403" s="98"/>
      <c r="C403" s="98"/>
      <c r="D403" s="98"/>
      <c r="E403" s="98"/>
      <c r="F403" s="99"/>
      <c r="G403" s="100"/>
      <c r="H403" s="100"/>
    </row>
    <row r="404" customHeight="1" spans="2:8">
      <c r="B404" s="98"/>
      <c r="C404" s="98"/>
      <c r="D404" s="98"/>
      <c r="E404" s="98"/>
      <c r="F404" s="99"/>
      <c r="G404" s="100"/>
      <c r="H404" s="100"/>
    </row>
    <row r="405" customHeight="1" spans="2:8">
      <c r="B405" s="98"/>
      <c r="C405" s="98"/>
      <c r="D405" s="98"/>
      <c r="E405" s="98"/>
      <c r="F405" s="99"/>
      <c r="G405" s="100"/>
      <c r="H405" s="100"/>
    </row>
    <row r="406" customHeight="1" spans="2:8">
      <c r="B406" s="98"/>
      <c r="C406" s="98"/>
      <c r="D406" s="98"/>
      <c r="E406" s="98"/>
      <c r="F406" s="99"/>
      <c r="G406" s="100"/>
      <c r="H406" s="100"/>
    </row>
    <row r="407" customHeight="1" spans="2:8">
      <c r="B407" s="98"/>
      <c r="C407" s="98"/>
      <c r="D407" s="98"/>
      <c r="E407" s="98"/>
      <c r="F407" s="99"/>
      <c r="G407" s="100"/>
      <c r="H407" s="100"/>
    </row>
    <row r="408" customHeight="1" spans="2:8">
      <c r="B408" s="98"/>
      <c r="C408" s="98"/>
      <c r="D408" s="98"/>
      <c r="E408" s="98"/>
      <c r="F408" s="99"/>
      <c r="G408" s="100"/>
      <c r="H408" s="100"/>
    </row>
    <row r="409" customHeight="1" spans="2:8">
      <c r="B409" s="98"/>
      <c r="C409" s="98"/>
      <c r="D409" s="98"/>
      <c r="E409" s="98"/>
      <c r="F409" s="99"/>
      <c r="G409" s="100"/>
      <c r="H409" s="100"/>
    </row>
    <row r="410" customHeight="1" spans="2:8">
      <c r="B410" s="98"/>
      <c r="C410" s="98"/>
      <c r="D410" s="98"/>
      <c r="E410" s="98"/>
      <c r="F410" s="99"/>
      <c r="G410" s="100"/>
      <c r="H410" s="100"/>
    </row>
    <row r="411" customHeight="1" spans="2:8">
      <c r="B411" s="98"/>
      <c r="C411" s="98"/>
      <c r="D411" s="98"/>
      <c r="E411" s="98"/>
      <c r="F411" s="99"/>
      <c r="G411" s="100"/>
      <c r="H411" s="100"/>
    </row>
    <row r="412" customHeight="1" spans="2:8">
      <c r="B412" s="98"/>
      <c r="C412" s="98"/>
      <c r="D412" s="98"/>
      <c r="E412" s="98"/>
      <c r="F412" s="99"/>
      <c r="G412" s="100"/>
      <c r="H412" s="100"/>
    </row>
    <row r="413" customHeight="1" spans="2:8">
      <c r="B413" s="98"/>
      <c r="C413" s="98"/>
      <c r="D413" s="98"/>
      <c r="E413" s="98"/>
      <c r="F413" s="99"/>
      <c r="G413" s="100"/>
      <c r="H413" s="100"/>
    </row>
    <row r="414" customHeight="1" spans="2:8">
      <c r="B414" s="98"/>
      <c r="C414" s="98"/>
      <c r="D414" s="98"/>
      <c r="E414" s="98"/>
      <c r="F414" s="99"/>
      <c r="G414" s="100"/>
      <c r="H414" s="100"/>
    </row>
    <row r="415" customHeight="1" spans="2:8">
      <c r="B415" s="98"/>
      <c r="C415" s="98"/>
      <c r="D415" s="98"/>
      <c r="E415" s="98"/>
      <c r="F415" s="99"/>
      <c r="G415" s="100"/>
      <c r="H415" s="100"/>
    </row>
    <row r="416" customHeight="1" spans="2:8">
      <c r="B416" s="98"/>
      <c r="C416" s="98"/>
      <c r="D416" s="98"/>
      <c r="E416" s="98"/>
      <c r="F416" s="99"/>
      <c r="G416" s="100"/>
      <c r="H416" s="100"/>
    </row>
    <row r="417" customHeight="1" spans="2:8">
      <c r="B417" s="98"/>
      <c r="C417" s="98"/>
      <c r="D417" s="98"/>
      <c r="E417" s="98"/>
      <c r="F417" s="99"/>
      <c r="G417" s="100"/>
      <c r="H417" s="100"/>
    </row>
    <row r="418" customHeight="1" spans="2:8">
      <c r="B418" s="98"/>
      <c r="C418" s="98"/>
      <c r="D418" s="98"/>
      <c r="E418" s="98"/>
      <c r="F418" s="99"/>
      <c r="G418" s="100"/>
      <c r="H418" s="100"/>
    </row>
    <row r="419" customHeight="1" spans="2:8">
      <c r="B419" s="98"/>
      <c r="C419" s="98"/>
      <c r="D419" s="98"/>
      <c r="E419" s="98"/>
      <c r="F419" s="99"/>
      <c r="G419" s="100"/>
      <c r="H419" s="100"/>
    </row>
    <row r="420" customHeight="1" spans="2:8">
      <c r="B420" s="98"/>
      <c r="C420" s="98"/>
      <c r="D420" s="98"/>
      <c r="E420" s="98"/>
      <c r="F420" s="99"/>
      <c r="G420" s="100"/>
      <c r="H420" s="100"/>
    </row>
    <row r="421" customHeight="1" spans="2:8">
      <c r="B421" s="98"/>
      <c r="C421" s="98"/>
      <c r="D421" s="98"/>
      <c r="E421" s="98"/>
      <c r="F421" s="99"/>
      <c r="G421" s="100"/>
      <c r="H421" s="100"/>
    </row>
    <row r="422" customHeight="1" spans="2:8">
      <c r="B422" s="98"/>
      <c r="C422" s="98"/>
      <c r="D422" s="98"/>
      <c r="E422" s="98"/>
      <c r="F422" s="99"/>
      <c r="G422" s="100"/>
      <c r="H422" s="100"/>
    </row>
    <row r="423" customHeight="1" spans="2:8">
      <c r="B423" s="98"/>
      <c r="C423" s="98"/>
      <c r="D423" s="98"/>
      <c r="E423" s="98"/>
      <c r="F423" s="99"/>
      <c r="G423" s="100"/>
      <c r="H423" s="100"/>
    </row>
    <row r="424" customHeight="1" spans="2:8">
      <c r="B424" s="98"/>
      <c r="C424" s="98"/>
      <c r="D424" s="98"/>
      <c r="E424" s="98"/>
      <c r="F424" s="99"/>
      <c r="G424" s="100"/>
      <c r="H424" s="100"/>
    </row>
    <row r="425" customHeight="1" spans="2:8">
      <c r="B425" s="98"/>
      <c r="C425" s="98"/>
      <c r="D425" s="98"/>
      <c r="E425" s="98"/>
      <c r="F425" s="99"/>
      <c r="G425" s="100"/>
      <c r="H425" s="100"/>
    </row>
    <row r="426" customHeight="1" spans="2:8">
      <c r="B426" s="98"/>
      <c r="C426" s="98"/>
      <c r="D426" s="98"/>
      <c r="E426" s="98"/>
      <c r="F426" s="99"/>
      <c r="G426" s="100"/>
      <c r="H426" s="100"/>
    </row>
    <row r="427" customHeight="1" spans="2:8">
      <c r="B427" s="98"/>
      <c r="C427" s="98"/>
      <c r="D427" s="98"/>
      <c r="E427" s="98"/>
      <c r="F427" s="99"/>
      <c r="G427" s="100"/>
      <c r="H427" s="100"/>
    </row>
    <row r="428" customHeight="1" spans="2:8">
      <c r="B428" s="98"/>
      <c r="C428" s="98"/>
      <c r="D428" s="98"/>
      <c r="E428" s="98"/>
      <c r="F428" s="99"/>
      <c r="G428" s="100"/>
      <c r="H428" s="100"/>
    </row>
    <row r="429" customHeight="1" spans="2:8">
      <c r="B429" s="98"/>
      <c r="C429" s="98"/>
      <c r="D429" s="98"/>
      <c r="E429" s="98"/>
      <c r="F429" s="99"/>
      <c r="G429" s="100"/>
      <c r="H429" s="100"/>
    </row>
    <row r="430" customHeight="1" spans="2:8">
      <c r="B430" s="98"/>
      <c r="C430" s="98"/>
      <c r="D430" s="98"/>
      <c r="E430" s="98"/>
      <c r="F430" s="99"/>
      <c r="G430" s="100"/>
      <c r="H430" s="100"/>
    </row>
    <row r="431" customHeight="1" spans="2:8">
      <c r="B431" s="98"/>
      <c r="C431" s="98"/>
      <c r="D431" s="98"/>
      <c r="E431" s="98"/>
      <c r="F431" s="99"/>
      <c r="G431" s="100"/>
      <c r="H431" s="100"/>
    </row>
    <row r="432" customHeight="1" spans="2:8">
      <c r="B432" s="98"/>
      <c r="C432" s="98"/>
      <c r="D432" s="98"/>
      <c r="E432" s="98"/>
      <c r="F432" s="99"/>
      <c r="G432" s="100"/>
      <c r="H432" s="100"/>
    </row>
    <row r="433" customHeight="1" spans="2:8">
      <c r="B433" s="98"/>
      <c r="C433" s="98"/>
      <c r="D433" s="98"/>
      <c r="E433" s="98"/>
      <c r="F433" s="99"/>
      <c r="G433" s="100"/>
      <c r="H433" s="100"/>
    </row>
    <row r="434" customHeight="1" spans="2:8">
      <c r="B434" s="98"/>
      <c r="C434" s="98"/>
      <c r="D434" s="98"/>
      <c r="E434" s="98"/>
      <c r="F434" s="99"/>
      <c r="G434" s="100"/>
      <c r="H434" s="100"/>
    </row>
    <row r="435" customHeight="1" spans="2:8">
      <c r="B435" s="98"/>
      <c r="C435" s="98"/>
      <c r="D435" s="98"/>
      <c r="E435" s="98"/>
      <c r="F435" s="99"/>
      <c r="G435" s="100"/>
      <c r="H435" s="100"/>
    </row>
    <row r="436" customHeight="1" spans="2:8">
      <c r="B436" s="98"/>
      <c r="C436" s="98"/>
      <c r="D436" s="98"/>
      <c r="E436" s="98"/>
      <c r="F436" s="99"/>
      <c r="G436" s="100"/>
      <c r="H436" s="100"/>
    </row>
    <row r="437" customHeight="1" spans="2:8">
      <c r="B437" s="98"/>
      <c r="C437" s="98"/>
      <c r="D437" s="98"/>
      <c r="E437" s="98"/>
      <c r="F437" s="99"/>
      <c r="G437" s="100"/>
      <c r="H437" s="100"/>
    </row>
    <row r="438" customHeight="1" spans="2:8">
      <c r="B438" s="98"/>
      <c r="C438" s="98"/>
      <c r="D438" s="98"/>
      <c r="E438" s="98"/>
      <c r="F438" s="99"/>
      <c r="G438" s="100"/>
      <c r="H438" s="100"/>
    </row>
    <row r="439" customHeight="1" spans="2:8">
      <c r="B439" s="98"/>
      <c r="C439" s="98"/>
      <c r="D439" s="98"/>
      <c r="E439" s="98"/>
      <c r="F439" s="99"/>
      <c r="G439" s="100"/>
      <c r="H439" s="100"/>
    </row>
    <row r="440" customHeight="1" spans="2:8">
      <c r="B440" s="98"/>
      <c r="C440" s="98"/>
      <c r="D440" s="98"/>
      <c r="E440" s="98"/>
      <c r="F440" s="99"/>
      <c r="G440" s="100"/>
      <c r="H440" s="100"/>
    </row>
    <row r="441" customHeight="1" spans="2:8">
      <c r="B441" s="98"/>
      <c r="C441" s="98"/>
      <c r="D441" s="98"/>
      <c r="E441" s="98"/>
      <c r="F441" s="99"/>
      <c r="G441" s="100"/>
      <c r="H441" s="100"/>
    </row>
    <row r="442" customHeight="1" spans="2:8">
      <c r="B442" s="98"/>
      <c r="C442" s="98"/>
      <c r="D442" s="98"/>
      <c r="E442" s="98"/>
      <c r="F442" s="99"/>
      <c r="G442" s="100"/>
      <c r="H442" s="100"/>
    </row>
    <row r="443" customHeight="1" spans="2:8">
      <c r="B443" s="98"/>
      <c r="C443" s="98"/>
      <c r="D443" s="98"/>
      <c r="E443" s="98"/>
      <c r="F443" s="99"/>
      <c r="G443" s="100"/>
      <c r="H443" s="100"/>
    </row>
    <row r="444" customHeight="1" spans="2:8">
      <c r="B444" s="98"/>
      <c r="C444" s="98"/>
      <c r="D444" s="98"/>
      <c r="E444" s="98"/>
      <c r="F444" s="99"/>
      <c r="G444" s="100"/>
      <c r="H444" s="100"/>
    </row>
    <row r="445" customHeight="1" spans="2:8">
      <c r="B445" s="98"/>
      <c r="C445" s="98"/>
      <c r="D445" s="98"/>
      <c r="E445" s="98"/>
      <c r="F445" s="99"/>
      <c r="G445" s="100"/>
      <c r="H445" s="100"/>
    </row>
    <row r="446" customHeight="1" spans="2:8">
      <c r="B446" s="98"/>
      <c r="C446" s="98"/>
      <c r="D446" s="98"/>
      <c r="E446" s="98"/>
      <c r="F446" s="99"/>
      <c r="G446" s="100"/>
      <c r="H446" s="100"/>
    </row>
    <row r="447" customHeight="1" spans="2:8">
      <c r="B447" s="98"/>
      <c r="C447" s="98"/>
      <c r="D447" s="98"/>
      <c r="E447" s="98"/>
      <c r="F447" s="99"/>
      <c r="G447" s="100"/>
      <c r="H447" s="100"/>
    </row>
    <row r="448" customHeight="1" spans="2:8">
      <c r="B448" s="98"/>
      <c r="C448" s="98"/>
      <c r="D448" s="98"/>
      <c r="E448" s="98"/>
      <c r="F448" s="99"/>
      <c r="G448" s="100"/>
      <c r="H448" s="100"/>
    </row>
    <row r="449" customHeight="1" spans="2:8">
      <c r="B449" s="98"/>
      <c r="C449" s="98"/>
      <c r="D449" s="98"/>
      <c r="E449" s="98"/>
      <c r="F449" s="99"/>
      <c r="G449" s="100"/>
      <c r="H449" s="100"/>
    </row>
    <row r="450" customHeight="1" spans="2:8">
      <c r="B450" s="98"/>
      <c r="C450" s="98"/>
      <c r="D450" s="98"/>
      <c r="E450" s="98"/>
      <c r="F450" s="99"/>
      <c r="G450" s="100"/>
      <c r="H450" s="100"/>
    </row>
    <row r="451" customHeight="1" spans="2:8">
      <c r="B451" s="98"/>
      <c r="C451" s="98"/>
      <c r="D451" s="98"/>
      <c r="E451" s="98"/>
      <c r="F451" s="99"/>
      <c r="G451" s="100"/>
      <c r="H451" s="100"/>
    </row>
    <row r="452" customHeight="1" spans="2:8">
      <c r="B452" s="98"/>
      <c r="C452" s="98"/>
      <c r="D452" s="98"/>
      <c r="E452" s="98"/>
      <c r="F452" s="99"/>
      <c r="G452" s="100"/>
      <c r="H452" s="100"/>
    </row>
    <row r="453" customHeight="1" spans="2:8">
      <c r="B453" s="98"/>
      <c r="C453" s="98"/>
      <c r="D453" s="98"/>
      <c r="E453" s="98"/>
      <c r="F453" s="99"/>
      <c r="G453" s="100"/>
      <c r="H453" s="100"/>
    </row>
    <row r="454" customHeight="1" spans="2:8">
      <c r="B454" s="98"/>
      <c r="C454" s="98"/>
      <c r="D454" s="98"/>
      <c r="E454" s="98"/>
      <c r="F454" s="99"/>
      <c r="G454" s="100"/>
      <c r="H454" s="100"/>
    </row>
    <row r="455" customHeight="1" spans="2:8">
      <c r="B455" s="98"/>
      <c r="C455" s="98"/>
      <c r="D455" s="98"/>
      <c r="E455" s="98"/>
      <c r="F455" s="99"/>
      <c r="G455" s="100"/>
      <c r="H455" s="100"/>
    </row>
    <row r="456" customHeight="1" spans="2:8">
      <c r="B456" s="98"/>
      <c r="C456" s="98"/>
      <c r="D456" s="98"/>
      <c r="E456" s="98"/>
      <c r="F456" s="99"/>
      <c r="G456" s="100"/>
      <c r="H456" s="100"/>
    </row>
    <row r="457" customHeight="1" spans="2:8">
      <c r="B457" s="98"/>
      <c r="C457" s="98"/>
      <c r="D457" s="98"/>
      <c r="E457" s="98"/>
      <c r="F457" s="99"/>
      <c r="G457" s="100"/>
      <c r="H457" s="100"/>
    </row>
    <row r="458" customHeight="1" spans="2:8">
      <c r="B458" s="98"/>
      <c r="C458" s="98"/>
      <c r="D458" s="98"/>
      <c r="E458" s="98"/>
      <c r="F458" s="99"/>
      <c r="G458" s="100"/>
      <c r="H458" s="100"/>
    </row>
    <row r="459" customHeight="1" spans="2:8">
      <c r="B459" s="98"/>
      <c r="C459" s="98"/>
      <c r="D459" s="98"/>
      <c r="E459" s="98"/>
      <c r="F459" s="99"/>
      <c r="G459" s="100"/>
      <c r="H459" s="100"/>
    </row>
    <row r="460" customHeight="1" spans="2:8">
      <c r="B460" s="98"/>
      <c r="C460" s="98"/>
      <c r="D460" s="98"/>
      <c r="E460" s="98"/>
      <c r="F460" s="99"/>
      <c r="G460" s="100"/>
      <c r="H460" s="100"/>
    </row>
    <row r="461" customHeight="1" spans="2:8">
      <c r="B461" s="98"/>
      <c r="C461" s="98"/>
      <c r="D461" s="98"/>
      <c r="E461" s="98"/>
      <c r="F461" s="99"/>
      <c r="G461" s="100"/>
      <c r="H461" s="100"/>
    </row>
    <row r="462" customHeight="1" spans="2:8">
      <c r="B462" s="98"/>
      <c r="C462" s="98"/>
      <c r="D462" s="98"/>
      <c r="E462" s="98"/>
      <c r="F462" s="99"/>
      <c r="G462" s="100"/>
      <c r="H462" s="100"/>
    </row>
    <row r="463" customHeight="1" spans="2:8">
      <c r="B463" s="98"/>
      <c r="C463" s="98"/>
      <c r="D463" s="98"/>
      <c r="E463" s="98"/>
      <c r="F463" s="99"/>
      <c r="G463" s="100"/>
      <c r="H463" s="100"/>
    </row>
    <row r="464" customHeight="1" spans="2:8">
      <c r="B464" s="98"/>
      <c r="C464" s="98"/>
      <c r="D464" s="98"/>
      <c r="E464" s="98"/>
      <c r="F464" s="99"/>
      <c r="G464" s="100"/>
      <c r="H464" s="100"/>
    </row>
    <row r="465" customHeight="1" spans="2:8">
      <c r="B465" s="98"/>
      <c r="C465" s="98"/>
      <c r="D465" s="98"/>
      <c r="E465" s="98"/>
      <c r="F465" s="99"/>
      <c r="G465" s="100"/>
      <c r="H465" s="100"/>
    </row>
    <row r="466" customHeight="1" spans="2:8">
      <c r="B466" s="98"/>
      <c r="C466" s="98"/>
      <c r="D466" s="98"/>
      <c r="E466" s="98"/>
      <c r="F466" s="99"/>
      <c r="G466" s="100"/>
      <c r="H466" s="100"/>
    </row>
    <row r="467" customHeight="1" spans="2:8">
      <c r="B467" s="98"/>
      <c r="C467" s="98"/>
      <c r="D467" s="98"/>
      <c r="E467" s="98"/>
      <c r="F467" s="99"/>
      <c r="G467" s="100"/>
      <c r="H467" s="100"/>
    </row>
    <row r="468" customHeight="1" spans="2:8">
      <c r="B468" s="98"/>
      <c r="C468" s="98"/>
      <c r="D468" s="98"/>
      <c r="E468" s="98"/>
      <c r="F468" s="99"/>
      <c r="G468" s="100"/>
      <c r="H468" s="100"/>
    </row>
    <row r="469" customHeight="1" spans="2:8">
      <c r="B469" s="98"/>
      <c r="C469" s="98"/>
      <c r="D469" s="98"/>
      <c r="E469" s="98"/>
      <c r="F469" s="99"/>
      <c r="G469" s="100"/>
      <c r="H469" s="100"/>
    </row>
    <row r="470" customHeight="1" spans="2:8">
      <c r="B470" s="98"/>
      <c r="C470" s="98"/>
      <c r="D470" s="98"/>
      <c r="E470" s="98"/>
      <c r="F470" s="99"/>
      <c r="G470" s="100"/>
      <c r="H470" s="100"/>
    </row>
    <row r="471" customHeight="1" spans="2:8">
      <c r="B471" s="98"/>
      <c r="C471" s="98"/>
      <c r="D471" s="98"/>
      <c r="E471" s="98"/>
      <c r="F471" s="99"/>
      <c r="G471" s="100"/>
      <c r="H471" s="100"/>
    </row>
    <row r="472" customHeight="1" spans="2:8">
      <c r="B472" s="98"/>
      <c r="C472" s="98"/>
      <c r="D472" s="98"/>
      <c r="E472" s="98"/>
      <c r="F472" s="99"/>
      <c r="G472" s="100"/>
      <c r="H472" s="100"/>
    </row>
    <row r="473" customHeight="1" spans="2:8">
      <c r="B473" s="98"/>
      <c r="C473" s="98"/>
      <c r="D473" s="98"/>
      <c r="E473" s="98"/>
      <c r="F473" s="99"/>
      <c r="G473" s="100"/>
      <c r="H473" s="100"/>
    </row>
    <row r="474" customHeight="1" spans="2:8">
      <c r="B474" s="98"/>
      <c r="C474" s="98"/>
      <c r="D474" s="98"/>
      <c r="E474" s="98"/>
      <c r="F474" s="99"/>
      <c r="G474" s="100"/>
      <c r="H474" s="100"/>
    </row>
    <row r="475" customHeight="1" spans="2:8">
      <c r="B475" s="98"/>
      <c r="C475" s="98"/>
      <c r="D475" s="98"/>
      <c r="E475" s="98"/>
      <c r="F475" s="99"/>
      <c r="G475" s="100"/>
      <c r="H475" s="100"/>
    </row>
    <row r="476" customHeight="1" spans="2:8">
      <c r="B476" s="98"/>
      <c r="C476" s="98"/>
      <c r="D476" s="98"/>
      <c r="E476" s="98"/>
      <c r="F476" s="99"/>
      <c r="G476" s="100"/>
      <c r="H476" s="100"/>
    </row>
    <row r="477" customHeight="1" spans="2:8">
      <c r="B477" s="98"/>
      <c r="C477" s="98"/>
      <c r="D477" s="98"/>
      <c r="E477" s="98"/>
      <c r="F477" s="99"/>
      <c r="G477" s="100"/>
      <c r="H477" s="100"/>
    </row>
    <row r="478" customHeight="1" spans="2:8">
      <c r="B478" s="98"/>
      <c r="C478" s="98"/>
      <c r="D478" s="98"/>
      <c r="E478" s="98"/>
      <c r="F478" s="99"/>
      <c r="G478" s="100"/>
      <c r="H478" s="100"/>
    </row>
    <row r="479" customHeight="1" spans="2:8">
      <c r="B479" s="98"/>
      <c r="C479" s="98"/>
      <c r="D479" s="98"/>
      <c r="E479" s="98"/>
      <c r="F479" s="99"/>
      <c r="G479" s="100"/>
      <c r="H479" s="100"/>
    </row>
    <row r="480" customHeight="1" spans="2:8">
      <c r="B480" s="98"/>
      <c r="C480" s="98"/>
      <c r="D480" s="98"/>
      <c r="E480" s="98"/>
      <c r="F480" s="99"/>
      <c r="G480" s="100"/>
      <c r="H480" s="100"/>
    </row>
    <row r="481" customHeight="1" spans="2:8">
      <c r="B481" s="98"/>
      <c r="C481" s="98"/>
      <c r="D481" s="98"/>
      <c r="E481" s="98"/>
      <c r="F481" s="99"/>
      <c r="G481" s="100"/>
      <c r="H481" s="100"/>
    </row>
    <row r="482" customHeight="1" spans="2:8">
      <c r="B482" s="98"/>
      <c r="C482" s="98"/>
      <c r="D482" s="98"/>
      <c r="E482" s="98"/>
      <c r="F482" s="99"/>
      <c r="G482" s="100"/>
      <c r="H482" s="100"/>
    </row>
    <row r="483" customHeight="1" spans="2:8">
      <c r="B483" s="98"/>
      <c r="C483" s="98"/>
      <c r="D483" s="98"/>
      <c r="E483" s="98"/>
      <c r="F483" s="99"/>
      <c r="G483" s="100"/>
      <c r="H483" s="100"/>
    </row>
    <row r="484" customHeight="1" spans="2:8">
      <c r="B484" s="98"/>
      <c r="C484" s="98"/>
      <c r="D484" s="98"/>
      <c r="E484" s="98"/>
      <c r="F484" s="99"/>
      <c r="G484" s="100"/>
      <c r="H484" s="100"/>
    </row>
    <row r="485" customHeight="1" spans="2:8">
      <c r="B485" s="98"/>
      <c r="C485" s="98"/>
      <c r="D485" s="98"/>
      <c r="E485" s="98"/>
      <c r="F485" s="99"/>
      <c r="G485" s="100"/>
      <c r="H485" s="100"/>
    </row>
    <row r="486" customHeight="1" spans="2:8">
      <c r="B486" s="98"/>
      <c r="C486" s="98"/>
      <c r="D486" s="98"/>
      <c r="E486" s="98"/>
      <c r="F486" s="99"/>
      <c r="G486" s="100"/>
      <c r="H486" s="100"/>
    </row>
    <row r="487" customHeight="1" spans="2:8">
      <c r="B487" s="98"/>
      <c r="C487" s="98"/>
      <c r="D487" s="98"/>
      <c r="E487" s="98"/>
      <c r="F487" s="99"/>
      <c r="G487" s="100"/>
      <c r="H487" s="100"/>
    </row>
    <row r="488" customHeight="1" spans="2:8">
      <c r="B488" s="98"/>
      <c r="C488" s="98"/>
      <c r="D488" s="98"/>
      <c r="E488" s="98"/>
      <c r="F488" s="99"/>
      <c r="G488" s="100"/>
      <c r="H488" s="100"/>
    </row>
    <row r="489" customHeight="1" spans="2:8">
      <c r="B489" s="98"/>
      <c r="C489" s="98"/>
      <c r="D489" s="98"/>
      <c r="E489" s="98"/>
      <c r="F489" s="99"/>
      <c r="G489" s="100"/>
      <c r="H489" s="100"/>
    </row>
    <row r="490" customHeight="1" spans="2:8">
      <c r="B490" s="98"/>
      <c r="C490" s="98"/>
      <c r="D490" s="98"/>
      <c r="E490" s="98"/>
      <c r="F490" s="99"/>
      <c r="G490" s="100"/>
      <c r="H490" s="100"/>
    </row>
    <row r="491" customHeight="1" spans="2:8">
      <c r="B491" s="98"/>
      <c r="C491" s="98"/>
      <c r="D491" s="98"/>
      <c r="E491" s="98"/>
      <c r="F491" s="99"/>
      <c r="G491" s="100"/>
      <c r="H491" s="100"/>
    </row>
    <row r="492" customHeight="1" spans="2:8">
      <c r="B492" s="98"/>
      <c r="C492" s="98"/>
      <c r="D492" s="98"/>
      <c r="E492" s="98"/>
      <c r="F492" s="99"/>
      <c r="G492" s="100"/>
      <c r="H492" s="100"/>
    </row>
    <row r="493" customHeight="1" spans="2:8">
      <c r="B493" s="98"/>
      <c r="C493" s="98"/>
      <c r="D493" s="98"/>
      <c r="E493" s="98"/>
      <c r="F493" s="99"/>
      <c r="G493" s="100"/>
      <c r="H493" s="100"/>
    </row>
    <row r="494" customHeight="1" spans="2:8">
      <c r="B494" s="98"/>
      <c r="C494" s="98"/>
      <c r="D494" s="98"/>
      <c r="E494" s="98"/>
      <c r="F494" s="99"/>
      <c r="G494" s="100"/>
      <c r="H494" s="100"/>
    </row>
    <row r="495" customHeight="1" spans="2:8">
      <c r="B495" s="98"/>
      <c r="C495" s="98"/>
      <c r="D495" s="98"/>
      <c r="E495" s="98"/>
      <c r="F495" s="99"/>
      <c r="G495" s="100"/>
      <c r="H495" s="100"/>
    </row>
    <row r="496" customHeight="1" spans="2:8">
      <c r="B496" s="98"/>
      <c r="C496" s="98"/>
      <c r="D496" s="98"/>
      <c r="E496" s="98"/>
      <c r="F496" s="99"/>
      <c r="G496" s="100"/>
      <c r="H496" s="100"/>
    </row>
    <row r="497" customHeight="1" spans="2:8">
      <c r="B497" s="98"/>
      <c r="C497" s="98"/>
      <c r="D497" s="98"/>
      <c r="E497" s="98"/>
      <c r="F497" s="99"/>
      <c r="G497" s="100"/>
      <c r="H497" s="100"/>
    </row>
    <row r="498" customHeight="1" spans="2:8">
      <c r="B498" s="98"/>
      <c r="C498" s="98"/>
      <c r="D498" s="98"/>
      <c r="E498" s="98"/>
      <c r="F498" s="99"/>
      <c r="G498" s="100"/>
      <c r="H498" s="100"/>
    </row>
    <row r="499" customHeight="1" spans="2:8">
      <c r="B499" s="98"/>
      <c r="C499" s="98"/>
      <c r="D499" s="98"/>
      <c r="E499" s="98"/>
      <c r="F499" s="99"/>
      <c r="G499" s="100"/>
      <c r="H499" s="100"/>
    </row>
    <row r="500" customHeight="1" spans="2:8">
      <c r="B500" s="98"/>
      <c r="C500" s="98"/>
      <c r="D500" s="98"/>
      <c r="E500" s="98"/>
      <c r="F500" s="99"/>
      <c r="G500" s="100"/>
      <c r="H500" s="100"/>
    </row>
    <row r="501" customHeight="1" spans="2:8">
      <c r="B501" s="98"/>
      <c r="C501" s="98"/>
      <c r="D501" s="98"/>
      <c r="E501" s="98"/>
      <c r="F501" s="99"/>
      <c r="G501" s="100"/>
      <c r="H501" s="100"/>
    </row>
    <row r="502" customHeight="1" spans="2:8">
      <c r="B502" s="98"/>
      <c r="C502" s="98"/>
      <c r="D502" s="98"/>
      <c r="E502" s="98"/>
      <c r="F502" s="99"/>
      <c r="G502" s="100"/>
      <c r="H502" s="100"/>
    </row>
    <row r="503" customHeight="1" spans="2:8">
      <c r="B503" s="98"/>
      <c r="C503" s="98"/>
      <c r="D503" s="98"/>
      <c r="E503" s="98"/>
      <c r="F503" s="99"/>
      <c r="G503" s="100"/>
      <c r="H503" s="100"/>
    </row>
    <row r="504" customHeight="1" spans="2:8">
      <c r="B504" s="98"/>
      <c r="C504" s="98"/>
      <c r="D504" s="98"/>
      <c r="E504" s="98"/>
      <c r="F504" s="99"/>
      <c r="G504" s="100"/>
      <c r="H504" s="100"/>
    </row>
    <row r="505" customHeight="1" spans="2:8">
      <c r="B505" s="98"/>
      <c r="C505" s="98"/>
      <c r="D505" s="98"/>
      <c r="E505" s="98"/>
      <c r="F505" s="99"/>
      <c r="G505" s="100"/>
      <c r="H505" s="100"/>
    </row>
    <row r="506" customHeight="1" spans="2:8">
      <c r="B506" s="98"/>
      <c r="C506" s="98"/>
      <c r="D506" s="98"/>
      <c r="E506" s="98"/>
      <c r="F506" s="99"/>
      <c r="G506" s="100"/>
      <c r="H506" s="100"/>
    </row>
    <row r="507" customHeight="1" spans="2:8">
      <c r="B507" s="98"/>
      <c r="C507" s="98"/>
      <c r="D507" s="98"/>
      <c r="E507" s="98"/>
      <c r="F507" s="99"/>
      <c r="G507" s="100"/>
      <c r="H507" s="100"/>
    </row>
    <row r="508" customHeight="1" spans="2:8">
      <c r="B508" s="98"/>
      <c r="C508" s="98"/>
      <c r="D508" s="98"/>
      <c r="E508" s="98"/>
      <c r="F508" s="99"/>
      <c r="G508" s="100"/>
      <c r="H508" s="100"/>
    </row>
    <row r="509" customHeight="1" spans="2:8">
      <c r="B509" s="98"/>
      <c r="C509" s="98"/>
      <c r="D509" s="98"/>
      <c r="E509" s="98"/>
      <c r="F509" s="99"/>
      <c r="G509" s="100"/>
      <c r="H509" s="100"/>
    </row>
    <row r="510" customHeight="1" spans="2:8">
      <c r="B510" s="98"/>
      <c r="C510" s="98"/>
      <c r="D510" s="98"/>
      <c r="E510" s="98"/>
      <c r="F510" s="99"/>
      <c r="G510" s="100"/>
      <c r="H510" s="100"/>
    </row>
    <row r="511" customHeight="1" spans="2:8">
      <c r="B511" s="98"/>
      <c r="C511" s="98"/>
      <c r="D511" s="98"/>
      <c r="E511" s="98"/>
      <c r="F511" s="99"/>
      <c r="G511" s="100"/>
      <c r="H511" s="100"/>
    </row>
    <row r="512" customHeight="1" spans="2:8">
      <c r="B512" s="98"/>
      <c r="C512" s="98"/>
      <c r="D512" s="98"/>
      <c r="E512" s="98"/>
      <c r="F512" s="99"/>
      <c r="G512" s="100"/>
      <c r="H512" s="100"/>
    </row>
    <row r="513" customHeight="1" spans="2:8">
      <c r="B513" s="98"/>
      <c r="C513" s="98"/>
      <c r="D513" s="98"/>
      <c r="E513" s="98"/>
      <c r="F513" s="99"/>
      <c r="G513" s="100"/>
      <c r="H513" s="100"/>
    </row>
    <row r="514" customHeight="1" spans="2:8">
      <c r="B514" s="98"/>
      <c r="C514" s="98"/>
      <c r="D514" s="98"/>
      <c r="E514" s="98"/>
      <c r="F514" s="99"/>
      <c r="G514" s="100"/>
      <c r="H514" s="100"/>
    </row>
    <row r="515" customHeight="1" spans="2:8">
      <c r="B515" s="98"/>
      <c r="C515" s="98"/>
      <c r="D515" s="98"/>
      <c r="E515" s="98"/>
      <c r="F515" s="99"/>
      <c r="G515" s="100"/>
      <c r="H515" s="100"/>
    </row>
    <row r="516" customHeight="1" spans="2:8">
      <c r="B516" s="98"/>
      <c r="C516" s="98"/>
      <c r="D516" s="98"/>
      <c r="E516" s="98"/>
      <c r="F516" s="99"/>
      <c r="G516" s="100"/>
      <c r="H516" s="100"/>
    </row>
    <row r="517" customHeight="1" spans="2:8">
      <c r="B517" s="98"/>
      <c r="C517" s="98"/>
      <c r="D517" s="98"/>
      <c r="E517" s="98"/>
      <c r="F517" s="99"/>
      <c r="G517" s="100"/>
      <c r="H517" s="100"/>
    </row>
    <row r="518" customHeight="1" spans="2:8">
      <c r="B518" s="98"/>
      <c r="C518" s="98"/>
      <c r="D518" s="98"/>
      <c r="E518" s="98"/>
      <c r="F518" s="99"/>
      <c r="G518" s="100"/>
      <c r="H518" s="100"/>
    </row>
    <row r="519" customHeight="1" spans="2:8">
      <c r="B519" s="98"/>
      <c r="C519" s="98"/>
      <c r="D519" s="98"/>
      <c r="E519" s="98"/>
      <c r="F519" s="99"/>
      <c r="G519" s="100"/>
      <c r="H519" s="100"/>
    </row>
    <row r="520" customHeight="1" spans="2:8">
      <c r="B520" s="98"/>
      <c r="C520" s="98"/>
      <c r="D520" s="98"/>
      <c r="E520" s="98"/>
      <c r="F520" s="99"/>
      <c r="G520" s="100"/>
      <c r="H520" s="100"/>
    </row>
    <row r="521" customHeight="1" spans="2:8">
      <c r="B521" s="98"/>
      <c r="C521" s="98"/>
      <c r="D521" s="98"/>
      <c r="E521" s="98"/>
      <c r="F521" s="99"/>
      <c r="G521" s="100"/>
      <c r="H521" s="100"/>
    </row>
    <row r="522" customHeight="1" spans="2:8">
      <c r="B522" s="98"/>
      <c r="C522" s="98"/>
      <c r="D522" s="98"/>
      <c r="E522" s="98"/>
      <c r="F522" s="99"/>
      <c r="G522" s="100"/>
      <c r="H522" s="100"/>
    </row>
    <row r="523" customHeight="1" spans="2:8">
      <c r="B523" s="98"/>
      <c r="C523" s="98"/>
      <c r="D523" s="98"/>
      <c r="E523" s="98"/>
      <c r="F523" s="99"/>
      <c r="G523" s="100"/>
      <c r="H523" s="100"/>
    </row>
    <row r="524" customHeight="1" spans="2:8">
      <c r="B524" s="98"/>
      <c r="C524" s="98"/>
      <c r="D524" s="98"/>
      <c r="E524" s="98"/>
      <c r="F524" s="99"/>
      <c r="G524" s="100"/>
      <c r="H524" s="100"/>
    </row>
    <row r="525" customHeight="1" spans="2:8">
      <c r="B525" s="98"/>
      <c r="C525" s="98"/>
      <c r="D525" s="98"/>
      <c r="E525" s="98"/>
      <c r="F525" s="99"/>
      <c r="G525" s="100"/>
      <c r="H525" s="100"/>
    </row>
    <row r="526" customHeight="1" spans="2:8">
      <c r="B526" s="98"/>
      <c r="C526" s="98"/>
      <c r="D526" s="98"/>
      <c r="E526" s="98"/>
      <c r="F526" s="99"/>
      <c r="G526" s="100"/>
      <c r="H526" s="100"/>
    </row>
    <row r="527" customHeight="1" spans="2:8">
      <c r="B527" s="98"/>
      <c r="C527" s="98"/>
      <c r="D527" s="98"/>
      <c r="E527" s="98"/>
      <c r="F527" s="99"/>
      <c r="G527" s="100"/>
      <c r="H527" s="100"/>
    </row>
    <row r="528" customHeight="1" spans="2:8">
      <c r="B528" s="98"/>
      <c r="C528" s="98"/>
      <c r="D528" s="98"/>
      <c r="E528" s="98"/>
      <c r="F528" s="99"/>
      <c r="G528" s="100"/>
      <c r="H528" s="100"/>
    </row>
    <row r="529" customHeight="1" spans="2:8">
      <c r="B529" s="98"/>
      <c r="C529" s="98"/>
      <c r="D529" s="98"/>
      <c r="E529" s="98"/>
      <c r="F529" s="99"/>
      <c r="G529" s="100"/>
      <c r="H529" s="100"/>
    </row>
    <row r="530" customHeight="1" spans="2:8">
      <c r="B530" s="98"/>
      <c r="C530" s="98"/>
      <c r="D530" s="98"/>
      <c r="E530" s="98"/>
      <c r="F530" s="99"/>
      <c r="G530" s="100"/>
      <c r="H530" s="100"/>
    </row>
    <row r="531" customHeight="1" spans="2:8">
      <c r="B531" s="98"/>
      <c r="C531" s="98"/>
      <c r="D531" s="98"/>
      <c r="E531" s="98"/>
      <c r="F531" s="99"/>
      <c r="G531" s="100"/>
      <c r="H531" s="100"/>
    </row>
    <row r="532" customHeight="1" spans="2:8">
      <c r="B532" s="98"/>
      <c r="C532" s="98"/>
      <c r="D532" s="98"/>
      <c r="E532" s="98"/>
      <c r="F532" s="99"/>
      <c r="G532" s="100"/>
      <c r="H532" s="100"/>
    </row>
    <row r="533" customHeight="1" spans="2:8">
      <c r="B533" s="98"/>
      <c r="C533" s="98"/>
      <c r="D533" s="98"/>
      <c r="E533" s="98"/>
      <c r="F533" s="99"/>
      <c r="G533" s="100"/>
      <c r="H533" s="100"/>
    </row>
    <row r="534" customHeight="1" spans="2:8">
      <c r="B534" s="98"/>
      <c r="C534" s="98"/>
      <c r="D534" s="98"/>
      <c r="E534" s="98"/>
      <c r="F534" s="99"/>
      <c r="G534" s="100"/>
      <c r="H534" s="100"/>
    </row>
    <row r="535" customHeight="1" spans="2:8">
      <c r="B535" s="98"/>
      <c r="C535" s="98"/>
      <c r="D535" s="98"/>
      <c r="E535" s="98"/>
      <c r="F535" s="99"/>
      <c r="G535" s="100"/>
      <c r="H535" s="100"/>
    </row>
    <row r="536" customHeight="1" spans="2:8">
      <c r="B536" s="98"/>
      <c r="C536" s="98"/>
      <c r="D536" s="98"/>
      <c r="E536" s="98"/>
      <c r="F536" s="99"/>
      <c r="G536" s="100"/>
      <c r="H536" s="100"/>
    </row>
    <row r="537" customHeight="1" spans="2:8">
      <c r="B537" s="98"/>
      <c r="C537" s="98"/>
      <c r="D537" s="98"/>
      <c r="E537" s="98"/>
      <c r="F537" s="99"/>
      <c r="G537" s="100"/>
      <c r="H537" s="100"/>
    </row>
    <row r="538" customHeight="1" spans="2:8">
      <c r="B538" s="98"/>
      <c r="C538" s="98"/>
      <c r="D538" s="98"/>
      <c r="E538" s="98"/>
      <c r="F538" s="99"/>
      <c r="G538" s="100"/>
      <c r="H538" s="100"/>
    </row>
    <row r="539" customHeight="1" spans="2:8">
      <c r="B539" s="98"/>
      <c r="C539" s="98"/>
      <c r="D539" s="98"/>
      <c r="E539" s="98"/>
      <c r="F539" s="99"/>
      <c r="G539" s="100"/>
      <c r="H539" s="100"/>
    </row>
    <row r="540" customHeight="1" spans="2:8">
      <c r="B540" s="98"/>
      <c r="C540" s="98"/>
      <c r="D540" s="98"/>
      <c r="E540" s="98"/>
      <c r="F540" s="99"/>
      <c r="G540" s="100"/>
      <c r="H540" s="100"/>
    </row>
    <row r="541" customHeight="1" spans="2:8">
      <c r="B541" s="98"/>
      <c r="C541" s="98"/>
      <c r="D541" s="98"/>
      <c r="E541" s="98"/>
      <c r="F541" s="99"/>
      <c r="G541" s="100"/>
      <c r="H541" s="100"/>
    </row>
    <row r="542" customHeight="1" spans="2:8">
      <c r="B542" s="98"/>
      <c r="C542" s="98"/>
      <c r="D542" s="98"/>
      <c r="E542" s="98"/>
      <c r="F542" s="99"/>
      <c r="G542" s="100"/>
      <c r="H542" s="100"/>
    </row>
    <row r="543" customHeight="1" spans="2:8">
      <c r="B543" s="98"/>
      <c r="C543" s="98"/>
      <c r="D543" s="98"/>
      <c r="E543" s="98"/>
      <c r="F543" s="99"/>
      <c r="G543" s="100"/>
      <c r="H543" s="100"/>
    </row>
    <row r="544" customHeight="1" spans="2:8">
      <c r="B544" s="98"/>
      <c r="C544" s="98"/>
      <c r="D544" s="98"/>
      <c r="E544" s="98"/>
      <c r="F544" s="99"/>
      <c r="G544" s="100"/>
      <c r="H544" s="100"/>
    </row>
    <row r="545" customHeight="1" spans="2:8">
      <c r="B545" s="98"/>
      <c r="C545" s="98"/>
      <c r="D545" s="98"/>
      <c r="E545" s="98"/>
      <c r="F545" s="99"/>
      <c r="G545" s="100"/>
      <c r="H545" s="100"/>
    </row>
    <row r="546" customHeight="1" spans="2:8">
      <c r="B546" s="98"/>
      <c r="C546" s="98"/>
      <c r="D546" s="98"/>
      <c r="E546" s="98"/>
      <c r="F546" s="99"/>
      <c r="G546" s="100"/>
      <c r="H546" s="100"/>
    </row>
    <row r="547" customHeight="1" spans="2:8">
      <c r="B547" s="98"/>
      <c r="C547" s="98"/>
      <c r="D547" s="98"/>
      <c r="E547" s="98"/>
      <c r="F547" s="99"/>
      <c r="G547" s="100"/>
      <c r="H547" s="100"/>
    </row>
    <row r="548" customHeight="1" spans="2:8">
      <c r="B548" s="98"/>
      <c r="C548" s="98"/>
      <c r="D548" s="98"/>
      <c r="E548" s="98"/>
      <c r="F548" s="99"/>
      <c r="G548" s="100"/>
      <c r="H548" s="100"/>
    </row>
    <row r="549" customHeight="1" spans="2:8">
      <c r="B549" s="98"/>
      <c r="C549" s="98"/>
      <c r="D549" s="98"/>
      <c r="E549" s="98"/>
      <c r="F549" s="99"/>
      <c r="G549" s="100"/>
      <c r="H549" s="100"/>
    </row>
    <row r="550" customHeight="1" spans="2:8">
      <c r="B550" s="98"/>
      <c r="C550" s="98"/>
      <c r="D550" s="98"/>
      <c r="E550" s="98"/>
      <c r="F550" s="99"/>
      <c r="G550" s="100"/>
      <c r="H550" s="100"/>
    </row>
    <row r="551" customHeight="1" spans="2:8">
      <c r="B551" s="98"/>
      <c r="C551" s="98"/>
      <c r="D551" s="98"/>
      <c r="E551" s="98"/>
      <c r="F551" s="99"/>
      <c r="G551" s="100"/>
      <c r="H551" s="100"/>
    </row>
    <row r="552" customHeight="1" spans="2:8">
      <c r="B552" s="98"/>
      <c r="C552" s="98"/>
      <c r="D552" s="98"/>
      <c r="E552" s="98"/>
      <c r="F552" s="99"/>
      <c r="G552" s="100"/>
      <c r="H552" s="100"/>
    </row>
    <row r="553" customHeight="1" spans="2:8">
      <c r="B553" s="98"/>
      <c r="C553" s="98"/>
      <c r="D553" s="98"/>
      <c r="E553" s="98"/>
      <c r="F553" s="99"/>
      <c r="G553" s="100"/>
      <c r="H553" s="100"/>
    </row>
    <row r="554" customHeight="1" spans="2:8">
      <c r="B554" s="98"/>
      <c r="C554" s="98"/>
      <c r="D554" s="98"/>
      <c r="E554" s="98"/>
      <c r="F554" s="99"/>
      <c r="G554" s="100"/>
      <c r="H554" s="100"/>
    </row>
    <row r="555" customHeight="1" spans="2:8">
      <c r="B555" s="98"/>
      <c r="C555" s="98"/>
      <c r="D555" s="98"/>
      <c r="E555" s="98"/>
      <c r="F555" s="99"/>
      <c r="G555" s="100"/>
      <c r="H555" s="100"/>
    </row>
    <row r="556" customHeight="1" spans="2:8">
      <c r="B556" s="98"/>
      <c r="C556" s="98"/>
      <c r="D556" s="98"/>
      <c r="E556" s="98"/>
      <c r="F556" s="99"/>
      <c r="G556" s="100"/>
      <c r="H556" s="100"/>
    </row>
    <row r="557" customHeight="1" spans="2:8">
      <c r="B557" s="98"/>
      <c r="C557" s="98"/>
      <c r="D557" s="98"/>
      <c r="E557" s="98"/>
      <c r="F557" s="99"/>
      <c r="G557" s="100"/>
      <c r="H557" s="100"/>
    </row>
    <row r="558" customHeight="1" spans="2:8">
      <c r="B558" s="98"/>
      <c r="C558" s="98"/>
      <c r="D558" s="98"/>
      <c r="E558" s="98"/>
      <c r="F558" s="99"/>
      <c r="G558" s="100"/>
      <c r="H558" s="100"/>
    </row>
    <row r="559" customHeight="1" spans="2:8">
      <c r="B559" s="98"/>
      <c r="C559" s="98"/>
      <c r="D559" s="98"/>
      <c r="E559" s="98"/>
      <c r="F559" s="99"/>
      <c r="G559" s="100"/>
      <c r="H559" s="100"/>
    </row>
    <row r="560" customHeight="1" spans="2:8">
      <c r="B560" s="98"/>
      <c r="C560" s="98"/>
      <c r="D560" s="98"/>
      <c r="E560" s="98"/>
      <c r="F560" s="99"/>
      <c r="G560" s="100"/>
      <c r="H560" s="100"/>
    </row>
    <row r="561" customHeight="1" spans="2:8">
      <c r="B561" s="98"/>
      <c r="C561" s="98"/>
      <c r="D561" s="98"/>
      <c r="E561" s="98"/>
      <c r="F561" s="99"/>
      <c r="G561" s="100"/>
      <c r="H561" s="100"/>
    </row>
    <row r="562" customHeight="1" spans="2:8">
      <c r="B562" s="98"/>
      <c r="C562" s="98"/>
      <c r="D562" s="98"/>
      <c r="E562" s="98"/>
      <c r="F562" s="99"/>
      <c r="G562" s="100"/>
      <c r="H562" s="100"/>
    </row>
    <row r="563" customHeight="1" spans="2:8">
      <c r="B563" s="98"/>
      <c r="C563" s="98"/>
      <c r="D563" s="98"/>
      <c r="E563" s="98"/>
      <c r="F563" s="99"/>
      <c r="G563" s="100"/>
      <c r="H563" s="100"/>
    </row>
    <row r="564" customHeight="1" spans="2:8">
      <c r="B564" s="98"/>
      <c r="C564" s="98"/>
      <c r="D564" s="98"/>
      <c r="E564" s="98"/>
      <c r="F564" s="99"/>
      <c r="G564" s="100"/>
      <c r="H564" s="100"/>
    </row>
    <row r="565" customHeight="1" spans="2:8">
      <c r="B565" s="98"/>
      <c r="C565" s="98"/>
      <c r="D565" s="98"/>
      <c r="E565" s="98"/>
      <c r="F565" s="99"/>
      <c r="G565" s="100"/>
      <c r="H565" s="100"/>
    </row>
    <row r="566" customHeight="1" spans="2:8">
      <c r="B566" s="98"/>
      <c r="C566" s="98"/>
      <c r="D566" s="98"/>
      <c r="E566" s="98"/>
      <c r="F566" s="99"/>
      <c r="G566" s="100"/>
      <c r="H566" s="100"/>
    </row>
    <row r="567" customHeight="1" spans="2:8">
      <c r="B567" s="98"/>
      <c r="C567" s="98"/>
      <c r="D567" s="98"/>
      <c r="E567" s="98"/>
      <c r="F567" s="99"/>
      <c r="G567" s="100"/>
      <c r="H567" s="100"/>
    </row>
    <row r="568" customHeight="1" spans="2:8">
      <c r="B568" s="98"/>
      <c r="C568" s="98"/>
      <c r="D568" s="98"/>
      <c r="E568" s="98"/>
      <c r="F568" s="99"/>
      <c r="G568" s="100"/>
      <c r="H568" s="100"/>
    </row>
    <row r="569" customHeight="1" spans="2:8">
      <c r="B569" s="98"/>
      <c r="C569" s="98"/>
      <c r="D569" s="98"/>
      <c r="E569" s="98"/>
      <c r="F569" s="99"/>
      <c r="G569" s="100"/>
      <c r="H569" s="100"/>
    </row>
    <row r="570" customHeight="1" spans="2:8">
      <c r="B570" s="98"/>
      <c r="C570" s="98"/>
      <c r="D570" s="98"/>
      <c r="E570" s="98"/>
      <c r="F570" s="99"/>
      <c r="G570" s="100"/>
      <c r="H570" s="100"/>
    </row>
    <row r="571" customHeight="1" spans="2:8">
      <c r="B571" s="98"/>
      <c r="C571" s="98"/>
      <c r="D571" s="98"/>
      <c r="E571" s="98"/>
      <c r="F571" s="99"/>
      <c r="G571" s="100"/>
      <c r="H571" s="100"/>
    </row>
    <row r="572" customHeight="1" spans="2:8">
      <c r="B572" s="98"/>
      <c r="C572" s="98"/>
      <c r="D572" s="98"/>
      <c r="E572" s="98"/>
      <c r="F572" s="99"/>
      <c r="G572" s="100"/>
      <c r="H572" s="100"/>
    </row>
    <row r="573" customHeight="1" spans="2:8">
      <c r="B573" s="98"/>
      <c r="C573" s="98"/>
      <c r="D573" s="98"/>
      <c r="E573" s="98"/>
      <c r="F573" s="99"/>
      <c r="G573" s="100"/>
      <c r="H573" s="100"/>
    </row>
    <row r="574" customHeight="1" spans="2:8">
      <c r="B574" s="98"/>
      <c r="C574" s="98"/>
      <c r="D574" s="98"/>
      <c r="E574" s="98"/>
      <c r="F574" s="99"/>
      <c r="G574" s="100"/>
      <c r="H574" s="100"/>
    </row>
    <row r="575" customHeight="1" spans="2:8">
      <c r="B575" s="98"/>
      <c r="C575" s="98"/>
      <c r="D575" s="98"/>
      <c r="E575" s="98"/>
      <c r="F575" s="99"/>
      <c r="G575" s="100"/>
      <c r="H575" s="100"/>
    </row>
    <row r="576" customHeight="1" spans="2:8">
      <c r="B576" s="98"/>
      <c r="C576" s="98"/>
      <c r="D576" s="98"/>
      <c r="E576" s="98"/>
      <c r="F576" s="99"/>
      <c r="G576" s="100"/>
      <c r="H576" s="100"/>
    </row>
    <row r="577" customHeight="1" spans="2:8">
      <c r="B577" s="98"/>
      <c r="C577" s="98"/>
      <c r="D577" s="98"/>
      <c r="E577" s="98"/>
      <c r="F577" s="99"/>
      <c r="G577" s="100"/>
      <c r="H577" s="100"/>
    </row>
    <row r="578" customHeight="1" spans="2:8">
      <c r="B578" s="98"/>
      <c r="C578" s="98"/>
      <c r="D578" s="98"/>
      <c r="E578" s="98"/>
      <c r="F578" s="99"/>
      <c r="G578" s="100"/>
      <c r="H578" s="100"/>
    </row>
    <row r="579" customHeight="1" spans="2:8">
      <c r="B579" s="98"/>
      <c r="C579" s="98"/>
      <c r="D579" s="98"/>
      <c r="E579" s="98"/>
      <c r="F579" s="99"/>
      <c r="G579" s="100"/>
      <c r="H579" s="100"/>
    </row>
    <row r="580" customHeight="1" spans="2:8">
      <c r="B580" s="98"/>
      <c r="C580" s="98"/>
      <c r="D580" s="98"/>
      <c r="E580" s="98"/>
      <c r="F580" s="99"/>
      <c r="G580" s="100"/>
      <c r="H580" s="100"/>
    </row>
    <row r="581" customHeight="1" spans="2:8">
      <c r="B581" s="98"/>
      <c r="C581" s="98"/>
      <c r="D581" s="98"/>
      <c r="E581" s="98"/>
      <c r="F581" s="99"/>
      <c r="G581" s="100"/>
      <c r="H581" s="100"/>
    </row>
    <row r="582" customHeight="1" spans="2:8">
      <c r="B582" s="98"/>
      <c r="C582" s="98"/>
      <c r="D582" s="98"/>
      <c r="E582" s="98"/>
      <c r="F582" s="99"/>
      <c r="G582" s="100"/>
      <c r="H582" s="100"/>
    </row>
    <row r="583" customHeight="1" spans="2:8">
      <c r="B583" s="98"/>
      <c r="C583" s="98"/>
      <c r="D583" s="98"/>
      <c r="E583" s="98"/>
      <c r="F583" s="99"/>
      <c r="G583" s="100"/>
      <c r="H583" s="100"/>
    </row>
    <row r="584" customHeight="1" spans="2:8">
      <c r="B584" s="98"/>
      <c r="C584" s="98"/>
      <c r="D584" s="98"/>
      <c r="E584" s="98"/>
      <c r="F584" s="99"/>
      <c r="G584" s="100"/>
      <c r="H584" s="100"/>
    </row>
    <row r="585" customHeight="1" spans="2:8">
      <c r="B585" s="98"/>
      <c r="C585" s="98"/>
      <c r="D585" s="98"/>
      <c r="E585" s="98"/>
      <c r="F585" s="99"/>
      <c r="G585" s="100"/>
      <c r="H585" s="100"/>
    </row>
    <row r="586" customHeight="1" spans="2:8">
      <c r="B586" s="98"/>
      <c r="C586" s="98"/>
      <c r="D586" s="98"/>
      <c r="E586" s="98"/>
      <c r="F586" s="99"/>
      <c r="G586" s="100"/>
      <c r="H586" s="100"/>
    </row>
    <row r="587" customHeight="1" spans="2:8">
      <c r="B587" s="98"/>
      <c r="C587" s="98"/>
      <c r="D587" s="98"/>
      <c r="E587" s="98"/>
      <c r="F587" s="99"/>
      <c r="G587" s="100"/>
      <c r="H587" s="100"/>
    </row>
    <row r="588" customHeight="1" spans="2:8">
      <c r="B588" s="98"/>
      <c r="C588" s="98"/>
      <c r="D588" s="98"/>
      <c r="E588" s="98"/>
      <c r="F588" s="99"/>
      <c r="G588" s="100"/>
      <c r="H588" s="100"/>
    </row>
    <row r="589" customHeight="1" spans="2:8">
      <c r="B589" s="98"/>
      <c r="C589" s="98"/>
      <c r="D589" s="98"/>
      <c r="E589" s="98"/>
      <c r="F589" s="99"/>
      <c r="G589" s="100"/>
      <c r="H589" s="100"/>
    </row>
    <row r="590" customHeight="1" spans="2:8">
      <c r="B590" s="98"/>
      <c r="C590" s="98"/>
      <c r="D590" s="98"/>
      <c r="E590" s="98"/>
      <c r="F590" s="99"/>
      <c r="G590" s="100"/>
      <c r="H590" s="100"/>
    </row>
    <row r="591" customHeight="1" spans="2:8">
      <c r="B591" s="98"/>
      <c r="C591" s="98"/>
      <c r="D591" s="98"/>
      <c r="E591" s="98"/>
      <c r="F591" s="99"/>
      <c r="G591" s="100"/>
      <c r="H591" s="100"/>
    </row>
    <row r="592" customHeight="1" spans="2:8">
      <c r="B592" s="98"/>
      <c r="C592" s="98"/>
      <c r="D592" s="98"/>
      <c r="E592" s="98"/>
      <c r="F592" s="99"/>
      <c r="G592" s="100"/>
      <c r="H592" s="100"/>
    </row>
    <row r="593" customHeight="1" spans="2:8">
      <c r="B593" s="98"/>
      <c r="C593" s="98"/>
      <c r="D593" s="98"/>
      <c r="E593" s="98"/>
      <c r="F593" s="99"/>
      <c r="G593" s="100"/>
      <c r="H593" s="100"/>
    </row>
    <row r="594" customHeight="1" spans="2:8">
      <c r="B594" s="98"/>
      <c r="C594" s="98"/>
      <c r="D594" s="98"/>
      <c r="E594" s="98"/>
      <c r="F594" s="99"/>
      <c r="G594" s="100"/>
      <c r="H594" s="100"/>
    </row>
    <row r="595" customHeight="1" spans="2:8">
      <c r="B595" s="98"/>
      <c r="C595" s="98"/>
      <c r="D595" s="98"/>
      <c r="E595" s="98"/>
      <c r="F595" s="99"/>
      <c r="G595" s="100"/>
      <c r="H595" s="100"/>
    </row>
    <row r="596" customHeight="1" spans="2:8">
      <c r="B596" s="98"/>
      <c r="C596" s="98"/>
      <c r="D596" s="98"/>
      <c r="E596" s="98"/>
      <c r="F596" s="99"/>
      <c r="G596" s="100"/>
      <c r="H596" s="100"/>
    </row>
    <row r="597" customHeight="1" spans="2:8">
      <c r="B597" s="98"/>
      <c r="C597" s="98"/>
      <c r="D597" s="98"/>
      <c r="E597" s="98"/>
      <c r="F597" s="99"/>
      <c r="G597" s="100"/>
      <c r="H597" s="100"/>
    </row>
    <row r="598" customHeight="1" spans="2:8">
      <c r="B598" s="98"/>
      <c r="C598" s="98"/>
      <c r="D598" s="98"/>
      <c r="E598" s="98"/>
      <c r="F598" s="99"/>
      <c r="G598" s="100"/>
      <c r="H598" s="100"/>
    </row>
    <row r="599" customHeight="1" spans="2:8">
      <c r="B599" s="98"/>
      <c r="C599" s="98"/>
      <c r="D599" s="98"/>
      <c r="E599" s="98"/>
      <c r="F599" s="99"/>
      <c r="G599" s="100"/>
      <c r="H599" s="100"/>
    </row>
    <row r="600" customHeight="1" spans="2:8">
      <c r="B600" s="98"/>
      <c r="C600" s="98"/>
      <c r="D600" s="98"/>
      <c r="E600" s="98"/>
      <c r="F600" s="99"/>
      <c r="G600" s="100"/>
      <c r="H600" s="100"/>
    </row>
    <row r="601" customHeight="1" spans="2:8">
      <c r="B601" s="98"/>
      <c r="C601" s="98"/>
      <c r="D601" s="98"/>
      <c r="E601" s="98"/>
      <c r="F601" s="99"/>
      <c r="G601" s="100"/>
      <c r="H601" s="100"/>
    </row>
    <row r="602" customHeight="1" spans="2:8">
      <c r="B602" s="98"/>
      <c r="C602" s="98"/>
      <c r="D602" s="98"/>
      <c r="E602" s="98"/>
      <c r="F602" s="99"/>
      <c r="G602" s="100"/>
      <c r="H602" s="100"/>
    </row>
    <row r="603" customHeight="1" spans="2:8">
      <c r="B603" s="98"/>
      <c r="C603" s="98"/>
      <c r="D603" s="98"/>
      <c r="E603" s="98"/>
      <c r="F603" s="99"/>
      <c r="G603" s="100"/>
      <c r="H603" s="100"/>
    </row>
    <row r="604" customHeight="1" spans="2:8">
      <c r="B604" s="98"/>
      <c r="C604" s="98"/>
      <c r="D604" s="98"/>
      <c r="E604" s="98"/>
      <c r="F604" s="99"/>
      <c r="G604" s="100"/>
      <c r="H604" s="100"/>
    </row>
    <row r="605" customHeight="1" spans="2:8">
      <c r="B605" s="98"/>
      <c r="C605" s="98"/>
      <c r="D605" s="98"/>
      <c r="E605" s="98"/>
      <c r="F605" s="99"/>
      <c r="G605" s="100"/>
      <c r="H605" s="100"/>
    </row>
    <row r="606" customHeight="1" spans="2:8">
      <c r="B606" s="98"/>
      <c r="C606" s="98"/>
      <c r="D606" s="98"/>
      <c r="E606" s="98"/>
      <c r="F606" s="99"/>
      <c r="G606" s="100"/>
      <c r="H606" s="100"/>
    </row>
    <row r="607" customHeight="1" spans="2:8">
      <c r="B607" s="98"/>
      <c r="C607" s="98"/>
      <c r="D607" s="98"/>
      <c r="E607" s="98"/>
      <c r="F607" s="99"/>
      <c r="G607" s="100"/>
      <c r="H607" s="100"/>
    </row>
    <row r="608" customHeight="1" spans="2:8">
      <c r="B608" s="98"/>
      <c r="C608" s="98"/>
      <c r="D608" s="98"/>
      <c r="E608" s="98"/>
      <c r="F608" s="99"/>
      <c r="G608" s="100"/>
      <c r="H608" s="100"/>
    </row>
    <row r="609" customHeight="1" spans="2:8">
      <c r="B609" s="98"/>
      <c r="C609" s="98"/>
      <c r="D609" s="98"/>
      <c r="E609" s="98"/>
      <c r="F609" s="99"/>
      <c r="G609" s="100"/>
      <c r="H609" s="100"/>
    </row>
    <row r="610" customHeight="1" spans="2:8">
      <c r="B610" s="98"/>
      <c r="C610" s="98"/>
      <c r="D610" s="98"/>
      <c r="E610" s="98"/>
      <c r="F610" s="99"/>
      <c r="G610" s="100"/>
      <c r="H610" s="100"/>
    </row>
    <row r="611" customHeight="1" spans="2:8">
      <c r="B611" s="98"/>
      <c r="C611" s="98"/>
      <c r="D611" s="98"/>
      <c r="E611" s="98"/>
      <c r="F611" s="99"/>
      <c r="G611" s="100"/>
      <c r="H611" s="100"/>
    </row>
    <row r="612" customHeight="1" spans="2:8">
      <c r="B612" s="98"/>
      <c r="C612" s="98"/>
      <c r="D612" s="98"/>
      <c r="E612" s="98"/>
      <c r="F612" s="99"/>
      <c r="G612" s="100"/>
      <c r="H612" s="100"/>
    </row>
    <row r="613" customHeight="1" spans="2:8">
      <c r="B613" s="98"/>
      <c r="C613" s="98"/>
      <c r="D613" s="98"/>
      <c r="E613" s="98"/>
      <c r="F613" s="99"/>
      <c r="G613" s="100"/>
      <c r="H613" s="100"/>
    </row>
    <row r="614" customHeight="1" spans="2:8">
      <c r="B614" s="98"/>
      <c r="C614" s="98"/>
      <c r="D614" s="98"/>
      <c r="E614" s="98"/>
      <c r="F614" s="99"/>
      <c r="G614" s="100"/>
      <c r="H614" s="100"/>
    </row>
    <row r="615" customHeight="1" spans="2:8">
      <c r="B615" s="98"/>
      <c r="C615" s="98"/>
      <c r="D615" s="98"/>
      <c r="E615" s="98"/>
      <c r="F615" s="99"/>
      <c r="G615" s="100"/>
      <c r="H615" s="100"/>
    </row>
    <row r="616" customHeight="1" spans="2:8">
      <c r="B616" s="98"/>
      <c r="C616" s="98"/>
      <c r="D616" s="98"/>
      <c r="E616" s="98"/>
      <c r="F616" s="99"/>
      <c r="G616" s="100"/>
      <c r="H616" s="100"/>
    </row>
    <row r="617" customHeight="1" spans="2:8">
      <c r="B617" s="98"/>
      <c r="C617" s="98"/>
      <c r="D617" s="98"/>
      <c r="E617" s="98"/>
      <c r="F617" s="99"/>
      <c r="G617" s="100"/>
      <c r="H617" s="100"/>
    </row>
    <row r="618" customHeight="1" spans="2:8">
      <c r="B618" s="98"/>
      <c r="C618" s="98"/>
      <c r="D618" s="98"/>
      <c r="E618" s="98"/>
      <c r="F618" s="99"/>
      <c r="G618" s="100"/>
      <c r="H618" s="100"/>
    </row>
    <row r="619" customHeight="1" spans="2:8">
      <c r="B619" s="98"/>
      <c r="C619" s="98"/>
      <c r="D619" s="98"/>
      <c r="E619" s="98"/>
      <c r="F619" s="99"/>
      <c r="G619" s="100"/>
      <c r="H619" s="100"/>
    </row>
    <row r="620" customHeight="1" spans="2:8">
      <c r="B620" s="98"/>
      <c r="C620" s="98"/>
      <c r="D620" s="98"/>
      <c r="E620" s="98"/>
      <c r="F620" s="99"/>
      <c r="G620" s="100"/>
      <c r="H620" s="100"/>
    </row>
    <row r="621" customHeight="1" spans="2:8">
      <c r="B621" s="98"/>
      <c r="C621" s="98"/>
      <c r="D621" s="98"/>
      <c r="E621" s="98"/>
      <c r="F621" s="99"/>
      <c r="G621" s="100"/>
      <c r="H621" s="100"/>
    </row>
    <row r="622" customHeight="1" spans="2:8">
      <c r="B622" s="98"/>
      <c r="C622" s="98"/>
      <c r="D622" s="98"/>
      <c r="E622" s="98"/>
      <c r="F622" s="99"/>
      <c r="G622" s="100"/>
      <c r="H622" s="100"/>
    </row>
    <row r="623" customHeight="1" spans="2:8">
      <c r="B623" s="98"/>
      <c r="C623" s="98"/>
      <c r="D623" s="98"/>
      <c r="E623" s="98"/>
      <c r="F623" s="99"/>
      <c r="G623" s="100"/>
      <c r="H623" s="100"/>
    </row>
    <row r="624" customHeight="1" spans="2:8">
      <c r="B624" s="98"/>
      <c r="C624" s="98"/>
      <c r="D624" s="98"/>
      <c r="E624" s="98"/>
      <c r="F624" s="99"/>
      <c r="G624" s="100"/>
      <c r="H624" s="100"/>
    </row>
    <row r="625" customHeight="1" spans="2:8">
      <c r="B625" s="98"/>
      <c r="C625" s="98"/>
      <c r="D625" s="98"/>
      <c r="E625" s="98"/>
      <c r="F625" s="99"/>
      <c r="G625" s="100"/>
      <c r="H625" s="100"/>
    </row>
    <row r="626" customHeight="1" spans="2:8">
      <c r="B626" s="98"/>
      <c r="C626" s="98"/>
      <c r="D626" s="98"/>
      <c r="E626" s="98"/>
      <c r="F626" s="99"/>
      <c r="G626" s="100"/>
      <c r="H626" s="100"/>
    </row>
    <row r="627" customHeight="1" spans="2:8">
      <c r="B627" s="98"/>
      <c r="C627" s="98"/>
      <c r="D627" s="98"/>
      <c r="E627" s="98"/>
      <c r="F627" s="99"/>
      <c r="G627" s="100"/>
      <c r="H627" s="100"/>
    </row>
    <row r="628" customHeight="1" spans="2:8">
      <c r="B628" s="98"/>
      <c r="C628" s="98"/>
      <c r="D628" s="98"/>
      <c r="E628" s="98"/>
      <c r="F628" s="99"/>
      <c r="G628" s="100"/>
      <c r="H628" s="100"/>
    </row>
    <row r="629" customHeight="1" spans="2:8">
      <c r="B629" s="98"/>
      <c r="C629" s="98"/>
      <c r="D629" s="98"/>
      <c r="E629" s="98"/>
      <c r="F629" s="99"/>
      <c r="G629" s="100"/>
      <c r="H629" s="100"/>
    </row>
    <row r="630" customHeight="1" spans="2:8">
      <c r="B630" s="98"/>
      <c r="C630" s="98"/>
      <c r="D630" s="98"/>
      <c r="E630" s="98"/>
      <c r="F630" s="99"/>
      <c r="G630" s="100"/>
      <c r="H630" s="100"/>
    </row>
    <row r="631" customHeight="1" spans="2:8">
      <c r="B631" s="98"/>
      <c r="C631" s="98"/>
      <c r="D631" s="98"/>
      <c r="E631" s="98"/>
      <c r="F631" s="99"/>
      <c r="G631" s="100"/>
      <c r="H631" s="100"/>
    </row>
    <row r="632" customHeight="1" spans="2:8">
      <c r="B632" s="98"/>
      <c r="C632" s="98"/>
      <c r="D632" s="98"/>
      <c r="E632" s="98"/>
      <c r="F632" s="99"/>
      <c r="G632" s="100"/>
      <c r="H632" s="100"/>
    </row>
    <row r="633" customHeight="1" spans="2:8">
      <c r="B633" s="98"/>
      <c r="C633" s="98"/>
      <c r="D633" s="98"/>
      <c r="E633" s="98"/>
      <c r="F633" s="99"/>
      <c r="G633" s="100"/>
      <c r="H633" s="100"/>
    </row>
    <row r="634" customHeight="1" spans="2:8">
      <c r="B634" s="98"/>
      <c r="C634" s="98"/>
      <c r="D634" s="98"/>
      <c r="E634" s="98"/>
      <c r="F634" s="99"/>
      <c r="G634" s="100"/>
      <c r="H634" s="100"/>
    </row>
    <row r="635" customHeight="1" spans="2:8">
      <c r="B635" s="98"/>
      <c r="C635" s="98"/>
      <c r="D635" s="98"/>
      <c r="E635" s="98"/>
      <c r="F635" s="99"/>
      <c r="G635" s="100"/>
      <c r="H635" s="100"/>
    </row>
    <row r="636" customHeight="1" spans="2:8">
      <c r="B636" s="98"/>
      <c r="C636" s="98"/>
      <c r="D636" s="98"/>
      <c r="E636" s="98"/>
      <c r="F636" s="99"/>
      <c r="G636" s="100"/>
      <c r="H636" s="100"/>
    </row>
    <row r="637" customHeight="1" spans="2:8">
      <c r="B637" s="98"/>
      <c r="C637" s="98"/>
      <c r="D637" s="98"/>
      <c r="E637" s="98"/>
      <c r="F637" s="99"/>
      <c r="G637" s="100"/>
      <c r="H637" s="100"/>
    </row>
    <row r="638" customHeight="1" spans="2:8">
      <c r="B638" s="98"/>
      <c r="C638" s="98"/>
      <c r="D638" s="98"/>
      <c r="E638" s="98"/>
      <c r="F638" s="99"/>
      <c r="G638" s="100"/>
      <c r="H638" s="100"/>
    </row>
    <row r="639" customHeight="1" spans="2:8">
      <c r="B639" s="98"/>
      <c r="C639" s="98"/>
      <c r="D639" s="98"/>
      <c r="E639" s="98"/>
      <c r="F639" s="99"/>
      <c r="G639" s="100"/>
      <c r="H639" s="100"/>
    </row>
    <row r="640" customHeight="1" spans="2:8">
      <c r="B640" s="98"/>
      <c r="C640" s="98"/>
      <c r="D640" s="98"/>
      <c r="E640" s="98"/>
      <c r="F640" s="99"/>
      <c r="G640" s="100"/>
      <c r="H640" s="100"/>
    </row>
    <row r="641" customHeight="1" spans="2:8">
      <c r="B641" s="98"/>
      <c r="C641" s="98"/>
      <c r="D641" s="98"/>
      <c r="E641" s="98"/>
      <c r="F641" s="99"/>
      <c r="G641" s="100"/>
      <c r="H641" s="100"/>
    </row>
    <row r="642" customHeight="1" spans="2:8">
      <c r="B642" s="98"/>
      <c r="C642" s="98"/>
      <c r="D642" s="98"/>
      <c r="E642" s="98"/>
      <c r="F642" s="99"/>
      <c r="G642" s="100"/>
      <c r="H642" s="100"/>
    </row>
    <row r="643" customHeight="1" spans="2:8">
      <c r="B643" s="98"/>
      <c r="C643" s="98"/>
      <c r="D643" s="98"/>
      <c r="E643" s="98"/>
      <c r="F643" s="99"/>
      <c r="G643" s="100"/>
      <c r="H643" s="100"/>
    </row>
    <row r="644" customHeight="1" spans="2:8">
      <c r="B644" s="98"/>
      <c r="C644" s="98"/>
      <c r="D644" s="98"/>
      <c r="E644" s="98"/>
      <c r="F644" s="99"/>
      <c r="G644" s="100"/>
      <c r="H644" s="100"/>
    </row>
    <row r="645" customHeight="1" spans="2:8">
      <c r="B645" s="98"/>
      <c r="C645" s="98"/>
      <c r="D645" s="98"/>
      <c r="E645" s="98"/>
      <c r="F645" s="99"/>
      <c r="G645" s="100"/>
      <c r="H645" s="100"/>
    </row>
    <row r="646" customHeight="1" spans="2:8">
      <c r="B646" s="98"/>
      <c r="C646" s="98"/>
      <c r="D646" s="98"/>
      <c r="E646" s="98"/>
      <c r="F646" s="99"/>
      <c r="G646" s="100"/>
      <c r="H646" s="100"/>
    </row>
    <row r="647" customHeight="1" spans="2:8">
      <c r="B647" s="98"/>
      <c r="C647" s="98"/>
      <c r="D647" s="98"/>
      <c r="E647" s="98"/>
      <c r="F647" s="99"/>
      <c r="G647" s="100"/>
      <c r="H647" s="100"/>
    </row>
    <row r="648" customHeight="1" spans="2:8">
      <c r="B648" s="98"/>
      <c r="C648" s="98"/>
      <c r="D648" s="98"/>
      <c r="E648" s="98"/>
      <c r="F648" s="99"/>
      <c r="G648" s="100"/>
      <c r="H648" s="100"/>
    </row>
    <row r="649" customHeight="1" spans="2:8">
      <c r="B649" s="98"/>
      <c r="C649" s="98"/>
      <c r="D649" s="98"/>
      <c r="E649" s="98"/>
      <c r="F649" s="99"/>
      <c r="G649" s="100"/>
      <c r="H649" s="100"/>
    </row>
    <row r="650" customHeight="1" spans="2:8">
      <c r="B650" s="98"/>
      <c r="C650" s="98"/>
      <c r="D650" s="98"/>
      <c r="E650" s="98"/>
      <c r="F650" s="99"/>
      <c r="G650" s="100"/>
      <c r="H650" s="100"/>
    </row>
    <row r="651" customHeight="1" spans="2:8">
      <c r="B651" s="98"/>
      <c r="C651" s="98"/>
      <c r="D651" s="98"/>
      <c r="E651" s="98"/>
      <c r="F651" s="99"/>
      <c r="G651" s="100"/>
      <c r="H651" s="100"/>
    </row>
    <row r="652" customHeight="1" spans="2:8">
      <c r="B652" s="98"/>
      <c r="C652" s="98"/>
      <c r="D652" s="98"/>
      <c r="E652" s="98"/>
      <c r="F652" s="99"/>
      <c r="G652" s="100"/>
      <c r="H652" s="100"/>
    </row>
    <row r="653" customHeight="1" spans="2:8">
      <c r="B653" s="98"/>
      <c r="C653" s="98"/>
      <c r="D653" s="98"/>
      <c r="E653" s="98"/>
      <c r="F653" s="99"/>
      <c r="G653" s="100"/>
      <c r="H653" s="100"/>
    </row>
    <row r="654" customHeight="1" spans="2:8">
      <c r="B654" s="98"/>
      <c r="C654" s="98"/>
      <c r="D654" s="98"/>
      <c r="E654" s="98"/>
      <c r="F654" s="99"/>
      <c r="G654" s="100"/>
      <c r="H654" s="100"/>
    </row>
    <row r="655" customHeight="1" spans="2:8">
      <c r="B655" s="98"/>
      <c r="C655" s="98"/>
      <c r="D655" s="98"/>
      <c r="E655" s="98"/>
      <c r="F655" s="99"/>
      <c r="G655" s="100"/>
      <c r="H655" s="100"/>
    </row>
    <row r="656" customHeight="1" spans="2:8">
      <c r="B656" s="98"/>
      <c r="C656" s="98"/>
      <c r="D656" s="98"/>
      <c r="E656" s="98"/>
      <c r="F656" s="99"/>
      <c r="G656" s="100"/>
      <c r="H656" s="100"/>
    </row>
    <row r="657" customHeight="1" spans="2:8">
      <c r="B657" s="98"/>
      <c r="C657" s="98"/>
      <c r="D657" s="98"/>
      <c r="E657" s="98"/>
      <c r="F657" s="99"/>
      <c r="G657" s="100"/>
      <c r="H657" s="100"/>
    </row>
    <row r="658" customHeight="1" spans="2:8">
      <c r="B658" s="98"/>
      <c r="C658" s="98"/>
      <c r="D658" s="98"/>
      <c r="E658" s="98"/>
      <c r="F658" s="99"/>
      <c r="G658" s="100"/>
      <c r="H658" s="100"/>
    </row>
    <row r="659" customHeight="1" spans="2:8">
      <c r="B659" s="98"/>
      <c r="C659" s="98"/>
      <c r="D659" s="98"/>
      <c r="E659" s="98"/>
      <c r="F659" s="99"/>
      <c r="G659" s="100"/>
      <c r="H659" s="100"/>
    </row>
    <row r="660" customHeight="1" spans="2:8">
      <c r="B660" s="98"/>
      <c r="C660" s="98"/>
      <c r="D660" s="98"/>
      <c r="E660" s="98"/>
      <c r="F660" s="99"/>
      <c r="G660" s="100"/>
      <c r="H660" s="100"/>
    </row>
    <row r="661" customHeight="1" spans="2:8">
      <c r="B661" s="98"/>
      <c r="C661" s="98"/>
      <c r="D661" s="98"/>
      <c r="E661" s="98"/>
      <c r="F661" s="99"/>
      <c r="G661" s="100"/>
      <c r="H661" s="100"/>
    </row>
    <row r="662" customHeight="1" spans="2:8">
      <c r="B662" s="98"/>
      <c r="C662" s="98"/>
      <c r="D662" s="98"/>
      <c r="E662" s="98"/>
      <c r="F662" s="99"/>
      <c r="G662" s="100"/>
      <c r="H662" s="100"/>
    </row>
    <row r="663" customHeight="1" spans="2:8">
      <c r="B663" s="98"/>
      <c r="C663" s="98"/>
      <c r="D663" s="98"/>
      <c r="E663" s="98"/>
      <c r="F663" s="99"/>
      <c r="G663" s="100"/>
      <c r="H663" s="100"/>
    </row>
    <row r="664" customHeight="1" spans="2:8">
      <c r="B664" s="98"/>
      <c r="C664" s="98"/>
      <c r="D664" s="98"/>
      <c r="E664" s="98"/>
      <c r="F664" s="99"/>
      <c r="G664" s="100"/>
      <c r="H664" s="100"/>
    </row>
    <row r="665" customHeight="1" spans="2:8">
      <c r="B665" s="98"/>
      <c r="C665" s="98"/>
      <c r="D665" s="98"/>
      <c r="E665" s="98"/>
      <c r="F665" s="99"/>
      <c r="G665" s="100"/>
      <c r="H665" s="100"/>
    </row>
    <row r="666" customHeight="1" spans="2:8">
      <c r="B666" s="98"/>
      <c r="C666" s="98"/>
      <c r="D666" s="98"/>
      <c r="E666" s="98"/>
      <c r="F666" s="99"/>
      <c r="G666" s="100"/>
      <c r="H666" s="100"/>
    </row>
    <row r="667" customHeight="1" spans="2:8">
      <c r="B667" s="98"/>
      <c r="C667" s="98"/>
      <c r="D667" s="98"/>
      <c r="E667" s="98"/>
      <c r="F667" s="99"/>
      <c r="G667" s="100"/>
      <c r="H667" s="100"/>
    </row>
    <row r="668" customHeight="1" spans="2:8">
      <c r="B668" s="98"/>
      <c r="C668" s="98"/>
      <c r="D668" s="98"/>
      <c r="E668" s="98"/>
      <c r="F668" s="99"/>
      <c r="G668" s="100"/>
      <c r="H668" s="100"/>
    </row>
    <row r="669" customHeight="1" spans="2:8">
      <c r="B669" s="98"/>
      <c r="C669" s="98"/>
      <c r="D669" s="98"/>
      <c r="E669" s="98"/>
      <c r="F669" s="99"/>
      <c r="G669" s="100"/>
      <c r="H669" s="100"/>
    </row>
    <row r="670" customHeight="1" spans="2:8">
      <c r="B670" s="98"/>
      <c r="C670" s="98"/>
      <c r="D670" s="98"/>
      <c r="E670" s="98"/>
      <c r="F670" s="99"/>
      <c r="G670" s="100"/>
      <c r="H670" s="100"/>
    </row>
    <row r="671" customHeight="1" spans="2:8">
      <c r="B671" s="98"/>
      <c r="C671" s="98"/>
      <c r="D671" s="98"/>
      <c r="E671" s="98"/>
      <c r="F671" s="99"/>
      <c r="G671" s="100"/>
      <c r="H671" s="100"/>
    </row>
    <row r="672" customHeight="1" spans="2:8">
      <c r="B672" s="98"/>
      <c r="C672" s="98"/>
      <c r="D672" s="98"/>
      <c r="E672" s="98"/>
      <c r="F672" s="99"/>
      <c r="G672" s="100"/>
      <c r="H672" s="100"/>
    </row>
    <row r="673" customHeight="1" spans="2:8">
      <c r="B673" s="98"/>
      <c r="C673" s="98"/>
      <c r="D673" s="98"/>
      <c r="E673" s="98"/>
      <c r="F673" s="99"/>
      <c r="G673" s="100"/>
      <c r="H673" s="100"/>
    </row>
    <row r="674" customHeight="1" spans="2:8">
      <c r="B674" s="98"/>
      <c r="C674" s="98"/>
      <c r="D674" s="98"/>
      <c r="E674" s="98"/>
      <c r="F674" s="99"/>
      <c r="G674" s="100"/>
      <c r="H674" s="100"/>
    </row>
    <row r="675" customHeight="1" spans="2:8">
      <c r="B675" s="98"/>
      <c r="C675" s="98"/>
      <c r="D675" s="98"/>
      <c r="E675" s="98"/>
      <c r="F675" s="99"/>
      <c r="G675" s="100"/>
      <c r="H675" s="100"/>
    </row>
    <row r="676" customHeight="1" spans="2:8">
      <c r="B676" s="98"/>
      <c r="C676" s="98"/>
      <c r="D676" s="98"/>
      <c r="E676" s="98"/>
      <c r="F676" s="99"/>
      <c r="G676" s="100"/>
      <c r="H676" s="100"/>
    </row>
    <row r="677" customHeight="1" spans="2:8">
      <c r="B677" s="98"/>
      <c r="C677" s="98"/>
      <c r="D677" s="98"/>
      <c r="E677" s="98"/>
      <c r="F677" s="99"/>
      <c r="G677" s="100"/>
      <c r="H677" s="100"/>
    </row>
    <row r="678" customHeight="1" spans="2:8">
      <c r="B678" s="98"/>
      <c r="C678" s="98"/>
      <c r="D678" s="98"/>
      <c r="E678" s="98"/>
      <c r="F678" s="99"/>
      <c r="G678" s="100"/>
      <c r="H678" s="100"/>
    </row>
    <row r="679" customHeight="1" spans="2:8">
      <c r="B679" s="98"/>
      <c r="C679" s="98"/>
      <c r="D679" s="98"/>
      <c r="E679" s="98"/>
      <c r="F679" s="99"/>
      <c r="G679" s="100"/>
      <c r="H679" s="100"/>
    </row>
    <row r="680" customHeight="1" spans="2:8">
      <c r="B680" s="98"/>
      <c r="C680" s="98"/>
      <c r="D680" s="98"/>
      <c r="E680" s="98"/>
      <c r="F680" s="99"/>
      <c r="G680" s="100"/>
      <c r="H680" s="100"/>
    </row>
    <row r="681" customHeight="1" spans="2:8">
      <c r="B681" s="98"/>
      <c r="C681" s="98"/>
      <c r="D681" s="98"/>
      <c r="E681" s="98"/>
      <c r="F681" s="99"/>
      <c r="G681" s="100"/>
      <c r="H681" s="100"/>
    </row>
    <row r="682" customHeight="1" spans="2:8">
      <c r="B682" s="98"/>
      <c r="C682" s="98"/>
      <c r="D682" s="98"/>
      <c r="E682" s="98"/>
      <c r="F682" s="99"/>
      <c r="G682" s="100"/>
      <c r="H682" s="100"/>
    </row>
    <row r="683" customHeight="1" spans="2:8">
      <c r="B683" s="98"/>
      <c r="C683" s="98"/>
      <c r="D683" s="98"/>
      <c r="E683" s="98"/>
      <c r="F683" s="99"/>
      <c r="G683" s="100"/>
      <c r="H683" s="100"/>
    </row>
    <row r="684" customHeight="1" spans="2:8">
      <c r="B684" s="98"/>
      <c r="C684" s="98"/>
      <c r="D684" s="98"/>
      <c r="E684" s="98"/>
      <c r="F684" s="99"/>
      <c r="G684" s="100"/>
      <c r="H684" s="100"/>
    </row>
    <row r="685" customHeight="1" spans="2:8">
      <c r="B685" s="98"/>
      <c r="C685" s="98"/>
      <c r="D685" s="98"/>
      <c r="E685" s="98"/>
      <c r="F685" s="99"/>
      <c r="G685" s="100"/>
      <c r="H685" s="100"/>
    </row>
    <row r="686" customHeight="1" spans="2:8">
      <c r="B686" s="98"/>
      <c r="C686" s="98"/>
      <c r="D686" s="98"/>
      <c r="E686" s="98"/>
      <c r="F686" s="99"/>
      <c r="G686" s="100"/>
      <c r="H686" s="100"/>
    </row>
    <row r="687" customHeight="1" spans="2:8">
      <c r="B687" s="98"/>
      <c r="C687" s="98"/>
      <c r="D687" s="98"/>
      <c r="E687" s="98"/>
      <c r="F687" s="99"/>
      <c r="G687" s="100"/>
      <c r="H687" s="100"/>
    </row>
    <row r="688" customHeight="1" spans="2:8">
      <c r="B688" s="98"/>
      <c r="C688" s="98"/>
      <c r="D688" s="98"/>
      <c r="E688" s="98"/>
      <c r="F688" s="99"/>
      <c r="G688" s="100"/>
      <c r="H688" s="100"/>
    </row>
    <row r="689" customHeight="1" spans="2:8">
      <c r="B689" s="98"/>
      <c r="C689" s="98"/>
      <c r="D689" s="98"/>
      <c r="E689" s="98"/>
      <c r="F689" s="99"/>
      <c r="G689" s="100"/>
      <c r="H689" s="100"/>
    </row>
    <row r="690" customHeight="1" spans="2:8">
      <c r="B690" s="98"/>
      <c r="C690" s="98"/>
      <c r="D690" s="98"/>
      <c r="E690" s="98"/>
      <c r="F690" s="99"/>
      <c r="G690" s="100"/>
      <c r="H690" s="100"/>
    </row>
    <row r="691" customHeight="1" spans="2:8">
      <c r="B691" s="98"/>
      <c r="C691" s="98"/>
      <c r="D691" s="98"/>
      <c r="E691" s="98"/>
      <c r="F691" s="99"/>
      <c r="G691" s="100"/>
      <c r="H691" s="100"/>
    </row>
    <row r="692" customHeight="1" spans="2:8">
      <c r="B692" s="98"/>
      <c r="C692" s="98"/>
      <c r="D692" s="98"/>
      <c r="E692" s="98"/>
      <c r="F692" s="99"/>
      <c r="G692" s="100"/>
      <c r="H692" s="100"/>
    </row>
    <row r="693" customHeight="1" spans="2:8">
      <c r="B693" s="98"/>
      <c r="C693" s="98"/>
      <c r="D693" s="98"/>
      <c r="E693" s="98"/>
      <c r="F693" s="99"/>
      <c r="G693" s="100"/>
      <c r="H693" s="100"/>
    </row>
    <row r="694" customHeight="1" spans="2:8">
      <c r="B694" s="98"/>
      <c r="C694" s="98"/>
      <c r="D694" s="98"/>
      <c r="E694" s="98"/>
      <c r="F694" s="99"/>
      <c r="G694" s="100"/>
      <c r="H694" s="100"/>
    </row>
    <row r="695" customHeight="1" spans="2:8">
      <c r="B695" s="98"/>
      <c r="C695" s="98"/>
      <c r="D695" s="98"/>
      <c r="E695" s="98"/>
      <c r="F695" s="99"/>
      <c r="G695" s="100"/>
      <c r="H695" s="100"/>
    </row>
    <row r="696" customHeight="1" spans="2:8">
      <c r="B696" s="98"/>
      <c r="C696" s="98"/>
      <c r="D696" s="98"/>
      <c r="E696" s="98"/>
      <c r="F696" s="99"/>
      <c r="G696" s="100"/>
      <c r="H696" s="100"/>
    </row>
    <row r="697" customHeight="1" spans="2:8">
      <c r="B697" s="98"/>
      <c r="C697" s="98"/>
      <c r="D697" s="98"/>
      <c r="E697" s="98"/>
      <c r="F697" s="99"/>
      <c r="G697" s="100"/>
      <c r="H697" s="100"/>
    </row>
    <row r="698" customHeight="1" spans="2:8">
      <c r="B698" s="98"/>
      <c r="C698" s="98"/>
      <c r="D698" s="98"/>
      <c r="E698" s="98"/>
      <c r="F698" s="99"/>
      <c r="G698" s="100"/>
      <c r="H698" s="100"/>
    </row>
    <row r="699" customHeight="1" spans="2:8">
      <c r="B699" s="98"/>
      <c r="C699" s="98"/>
      <c r="D699" s="98"/>
      <c r="E699" s="98"/>
      <c r="F699" s="99"/>
      <c r="G699" s="100"/>
      <c r="H699" s="100"/>
    </row>
    <row r="700" customHeight="1" spans="2:8">
      <c r="B700" s="98"/>
      <c r="C700" s="98"/>
      <c r="D700" s="98"/>
      <c r="E700" s="98"/>
      <c r="F700" s="99"/>
      <c r="G700" s="100"/>
      <c r="H700" s="100"/>
    </row>
    <row r="701" customHeight="1" spans="2:8">
      <c r="B701" s="98"/>
      <c r="C701" s="98"/>
      <c r="D701" s="98"/>
      <c r="E701" s="98"/>
      <c r="F701" s="99"/>
      <c r="G701" s="100"/>
      <c r="H701" s="100"/>
    </row>
    <row r="702" customHeight="1" spans="2:8">
      <c r="B702" s="98"/>
      <c r="C702" s="98"/>
      <c r="D702" s="98"/>
      <c r="E702" s="98"/>
      <c r="F702" s="99"/>
      <c r="G702" s="100"/>
      <c r="H702" s="100"/>
    </row>
    <row r="703" customHeight="1" spans="2:8">
      <c r="B703" s="98"/>
      <c r="C703" s="98"/>
      <c r="D703" s="98"/>
      <c r="E703" s="98"/>
      <c r="F703" s="99"/>
      <c r="G703" s="100"/>
      <c r="H703" s="100"/>
    </row>
    <row r="704" customHeight="1" spans="2:8">
      <c r="B704" s="98"/>
      <c r="C704" s="98"/>
      <c r="D704" s="98"/>
      <c r="E704" s="98"/>
      <c r="F704" s="99"/>
      <c r="G704" s="100"/>
      <c r="H704" s="100"/>
    </row>
    <row r="705" customHeight="1" spans="2:8">
      <c r="B705" s="98"/>
      <c r="C705" s="98"/>
      <c r="D705" s="98"/>
      <c r="E705" s="98"/>
      <c r="F705" s="99"/>
      <c r="G705" s="100"/>
      <c r="H705" s="100"/>
    </row>
    <row r="706" customHeight="1" spans="2:8">
      <c r="B706" s="98"/>
      <c r="C706" s="98"/>
      <c r="D706" s="98"/>
      <c r="E706" s="98"/>
      <c r="F706" s="99"/>
      <c r="G706" s="100"/>
      <c r="H706" s="100"/>
    </row>
    <row r="707" customHeight="1" spans="2:8">
      <c r="B707" s="98"/>
      <c r="C707" s="98"/>
      <c r="D707" s="98"/>
      <c r="E707" s="98"/>
      <c r="F707" s="99"/>
      <c r="G707" s="100"/>
      <c r="H707" s="100"/>
    </row>
    <row r="708" customHeight="1" spans="2:8">
      <c r="B708" s="98"/>
      <c r="C708" s="98"/>
      <c r="D708" s="98"/>
      <c r="E708" s="98"/>
      <c r="F708" s="99"/>
      <c r="G708" s="100"/>
      <c r="H708" s="100"/>
    </row>
    <row r="709" customHeight="1" spans="2:8">
      <c r="B709" s="98"/>
      <c r="C709" s="98"/>
      <c r="D709" s="98"/>
      <c r="E709" s="98"/>
      <c r="F709" s="99"/>
      <c r="G709" s="100"/>
      <c r="H709" s="100"/>
    </row>
    <row r="710" customHeight="1" spans="2:8">
      <c r="B710" s="98"/>
      <c r="C710" s="98"/>
      <c r="D710" s="98"/>
      <c r="E710" s="98"/>
      <c r="F710" s="99"/>
      <c r="G710" s="100"/>
      <c r="H710" s="100"/>
    </row>
    <row r="711" customHeight="1" spans="2:8">
      <c r="B711" s="98"/>
      <c r="C711" s="98"/>
      <c r="D711" s="98"/>
      <c r="E711" s="98"/>
      <c r="F711" s="99"/>
      <c r="G711" s="100"/>
      <c r="H711" s="100"/>
    </row>
    <row r="712" customHeight="1" spans="2:8">
      <c r="B712" s="98"/>
      <c r="C712" s="98"/>
      <c r="D712" s="98"/>
      <c r="E712" s="98"/>
      <c r="F712" s="99"/>
      <c r="G712" s="100"/>
      <c r="H712" s="100"/>
    </row>
    <row r="713" customHeight="1" spans="2:8">
      <c r="B713" s="98"/>
      <c r="C713" s="98"/>
      <c r="D713" s="98"/>
      <c r="E713" s="98"/>
      <c r="F713" s="99"/>
      <c r="G713" s="100"/>
      <c r="H713" s="100"/>
    </row>
    <row r="714" customHeight="1" spans="2:8">
      <c r="B714" s="98"/>
      <c r="C714" s="98"/>
      <c r="D714" s="98"/>
      <c r="E714" s="98"/>
      <c r="F714" s="99"/>
      <c r="G714" s="100"/>
      <c r="H714" s="100"/>
    </row>
    <row r="715" customHeight="1" spans="2:8">
      <c r="B715" s="98"/>
      <c r="C715" s="98"/>
      <c r="D715" s="98"/>
      <c r="E715" s="98"/>
      <c r="F715" s="99"/>
      <c r="G715" s="100"/>
      <c r="H715" s="100"/>
    </row>
    <row r="716" customHeight="1" spans="2:8">
      <c r="B716" s="98"/>
      <c r="C716" s="98"/>
      <c r="D716" s="98"/>
      <c r="E716" s="98"/>
      <c r="F716" s="99"/>
      <c r="G716" s="100"/>
      <c r="H716" s="100"/>
    </row>
    <row r="717" customHeight="1" spans="2:8">
      <c r="B717" s="98"/>
      <c r="C717" s="98"/>
      <c r="D717" s="98"/>
      <c r="E717" s="98"/>
      <c r="F717" s="99"/>
      <c r="G717" s="100"/>
      <c r="H717" s="100"/>
    </row>
    <row r="718" customHeight="1" spans="2:8">
      <c r="B718" s="98"/>
      <c r="C718" s="98"/>
      <c r="D718" s="98"/>
      <c r="E718" s="98"/>
      <c r="F718" s="99"/>
      <c r="G718" s="100"/>
      <c r="H718" s="100"/>
    </row>
    <row r="719" customHeight="1" spans="2:8">
      <c r="B719" s="98"/>
      <c r="C719" s="98"/>
      <c r="D719" s="98"/>
      <c r="E719" s="98"/>
      <c r="F719" s="99"/>
      <c r="G719" s="100"/>
      <c r="H719" s="100"/>
    </row>
    <row r="720" customHeight="1" spans="2:8">
      <c r="B720" s="98"/>
      <c r="C720" s="98"/>
      <c r="D720" s="98"/>
      <c r="E720" s="98"/>
      <c r="F720" s="99"/>
      <c r="G720" s="100"/>
      <c r="H720" s="100"/>
    </row>
    <row r="721" customHeight="1" spans="2:8">
      <c r="B721" s="98"/>
      <c r="C721" s="98"/>
      <c r="D721" s="98"/>
      <c r="E721" s="98"/>
      <c r="F721" s="99"/>
      <c r="G721" s="100"/>
      <c r="H721" s="100"/>
    </row>
    <row r="722" customHeight="1" spans="2:8">
      <c r="B722" s="98"/>
      <c r="C722" s="98"/>
      <c r="D722" s="98"/>
      <c r="E722" s="98"/>
      <c r="F722" s="99"/>
      <c r="G722" s="100"/>
      <c r="H722" s="100"/>
    </row>
    <row r="723" customHeight="1" spans="2:8">
      <c r="B723" s="98"/>
      <c r="C723" s="98"/>
      <c r="D723" s="98"/>
      <c r="E723" s="98"/>
      <c r="F723" s="99"/>
      <c r="G723" s="100"/>
      <c r="H723" s="100"/>
    </row>
    <row r="724" customHeight="1" spans="2:8">
      <c r="B724" s="98"/>
      <c r="C724" s="98"/>
      <c r="D724" s="98"/>
      <c r="E724" s="98"/>
      <c r="F724" s="99"/>
      <c r="G724" s="100"/>
      <c r="H724" s="100"/>
    </row>
    <row r="725" customHeight="1" spans="2:8">
      <c r="B725" s="98"/>
      <c r="C725" s="98"/>
      <c r="D725" s="98"/>
      <c r="E725" s="98"/>
      <c r="F725" s="99"/>
      <c r="G725" s="100"/>
      <c r="H725" s="100"/>
    </row>
    <row r="726" customHeight="1" spans="2:8">
      <c r="B726" s="98"/>
      <c r="C726" s="98"/>
      <c r="D726" s="98"/>
      <c r="E726" s="98"/>
      <c r="F726" s="99"/>
      <c r="G726" s="100"/>
      <c r="H726" s="100"/>
    </row>
    <row r="727" customHeight="1" spans="2:8">
      <c r="B727" s="98"/>
      <c r="C727" s="98"/>
      <c r="D727" s="98"/>
      <c r="E727" s="98"/>
      <c r="F727" s="99"/>
      <c r="G727" s="100"/>
      <c r="H727" s="100"/>
    </row>
    <row r="728" customHeight="1" spans="2:8">
      <c r="B728" s="98"/>
      <c r="C728" s="98"/>
      <c r="D728" s="98"/>
      <c r="E728" s="98"/>
      <c r="F728" s="99"/>
      <c r="G728" s="100"/>
      <c r="H728" s="100"/>
    </row>
    <row r="729" customHeight="1" spans="2:8">
      <c r="B729" s="98"/>
      <c r="C729" s="98"/>
      <c r="D729" s="98"/>
      <c r="E729" s="98"/>
      <c r="F729" s="99"/>
      <c r="G729" s="100"/>
      <c r="H729" s="100"/>
    </row>
    <row r="730" customHeight="1" spans="2:8">
      <c r="B730" s="98"/>
      <c r="C730" s="98"/>
      <c r="D730" s="98"/>
      <c r="E730" s="98"/>
      <c r="F730" s="99"/>
      <c r="G730" s="100"/>
      <c r="H730" s="100"/>
    </row>
    <row r="731" customHeight="1" spans="2:8">
      <c r="B731" s="98"/>
      <c r="C731" s="98"/>
      <c r="D731" s="98"/>
      <c r="E731" s="98"/>
      <c r="F731" s="99"/>
      <c r="G731" s="100"/>
      <c r="H731" s="100"/>
    </row>
    <row r="732" customHeight="1" spans="2:8">
      <c r="B732" s="98"/>
      <c r="C732" s="98"/>
      <c r="D732" s="98"/>
      <c r="E732" s="98"/>
      <c r="F732" s="99"/>
      <c r="G732" s="100"/>
      <c r="H732" s="100"/>
    </row>
    <row r="733" customHeight="1" spans="2:8">
      <c r="B733" s="98"/>
      <c r="C733" s="98"/>
      <c r="D733" s="98"/>
      <c r="E733" s="98"/>
      <c r="F733" s="99"/>
      <c r="G733" s="100"/>
      <c r="H733" s="100"/>
    </row>
    <row r="734" customHeight="1" spans="2:8">
      <c r="B734" s="98"/>
      <c r="C734" s="98"/>
      <c r="D734" s="98"/>
      <c r="E734" s="98"/>
      <c r="F734" s="99"/>
      <c r="G734" s="100"/>
      <c r="H734" s="100"/>
    </row>
    <row r="735" customHeight="1" spans="2:8">
      <c r="B735" s="98"/>
      <c r="C735" s="98"/>
      <c r="D735" s="98"/>
      <c r="E735" s="98"/>
      <c r="F735" s="99"/>
      <c r="G735" s="100"/>
      <c r="H735" s="100"/>
    </row>
    <row r="736" customHeight="1" spans="2:8">
      <c r="B736" s="98"/>
      <c r="C736" s="98"/>
      <c r="D736" s="98"/>
      <c r="E736" s="98"/>
      <c r="F736" s="99"/>
      <c r="G736" s="100"/>
      <c r="H736" s="100"/>
    </row>
    <row r="737" customHeight="1" spans="2:8">
      <c r="B737" s="98"/>
      <c r="C737" s="98"/>
      <c r="D737" s="98"/>
      <c r="E737" s="98"/>
      <c r="F737" s="99"/>
      <c r="G737" s="100"/>
      <c r="H737" s="100"/>
    </row>
    <row r="738" customHeight="1" spans="2:8">
      <c r="B738" s="98"/>
      <c r="C738" s="98"/>
      <c r="D738" s="98"/>
      <c r="E738" s="98"/>
      <c r="F738" s="99"/>
      <c r="G738" s="100"/>
      <c r="H738" s="100"/>
    </row>
    <row r="739" customHeight="1" spans="2:8">
      <c r="B739" s="98"/>
      <c r="C739" s="98"/>
      <c r="D739" s="98"/>
      <c r="E739" s="98"/>
      <c r="F739" s="99"/>
      <c r="G739" s="100"/>
      <c r="H739" s="100"/>
    </row>
    <row r="740" customHeight="1" spans="2:8">
      <c r="B740" s="98"/>
      <c r="C740" s="98"/>
      <c r="D740" s="98"/>
      <c r="E740" s="98"/>
      <c r="F740" s="99"/>
      <c r="G740" s="100"/>
      <c r="H740" s="100"/>
    </row>
    <row r="741" customHeight="1" spans="2:8">
      <c r="B741" s="98"/>
      <c r="C741" s="98"/>
      <c r="D741" s="98"/>
      <c r="E741" s="98"/>
      <c r="F741" s="99"/>
      <c r="G741" s="100"/>
      <c r="H741" s="100"/>
    </row>
    <row r="742" customHeight="1" spans="2:8">
      <c r="B742" s="98"/>
      <c r="C742" s="98"/>
      <c r="D742" s="98"/>
      <c r="E742" s="98"/>
      <c r="F742" s="99"/>
      <c r="G742" s="100"/>
      <c r="H742" s="100"/>
    </row>
    <row r="743" customHeight="1" spans="2:8">
      <c r="B743" s="98"/>
      <c r="C743" s="98"/>
      <c r="D743" s="98"/>
      <c r="E743" s="98"/>
      <c r="F743" s="99"/>
      <c r="G743" s="100"/>
      <c r="H743" s="100"/>
    </row>
    <row r="744" customHeight="1" spans="2:8">
      <c r="B744" s="98"/>
      <c r="C744" s="98"/>
      <c r="D744" s="98"/>
      <c r="E744" s="98"/>
      <c r="F744" s="99"/>
      <c r="G744" s="100"/>
      <c r="H744" s="100"/>
    </row>
    <row r="745" customHeight="1" spans="2:8">
      <c r="B745" s="98"/>
      <c r="C745" s="98"/>
      <c r="D745" s="98"/>
      <c r="E745" s="98"/>
      <c r="F745" s="99"/>
      <c r="G745" s="100"/>
      <c r="H745" s="100"/>
    </row>
    <row r="746" customHeight="1" spans="2:8">
      <c r="B746" s="98"/>
      <c r="C746" s="98"/>
      <c r="D746" s="98"/>
      <c r="E746" s="98"/>
      <c r="F746" s="99"/>
      <c r="G746" s="100"/>
      <c r="H746" s="100"/>
    </row>
    <row r="747" customHeight="1" spans="2:8">
      <c r="B747" s="98"/>
      <c r="C747" s="98"/>
      <c r="D747" s="98"/>
      <c r="E747" s="98"/>
      <c r="F747" s="99"/>
      <c r="G747" s="100"/>
      <c r="H747" s="100"/>
    </row>
    <row r="748" customHeight="1" spans="2:8">
      <c r="B748" s="98"/>
      <c r="C748" s="98"/>
      <c r="D748" s="98"/>
      <c r="E748" s="98"/>
      <c r="F748" s="99"/>
      <c r="G748" s="100"/>
      <c r="H748" s="100"/>
    </row>
    <row r="749" customHeight="1" spans="2:8">
      <c r="B749" s="98"/>
      <c r="C749" s="98"/>
      <c r="D749" s="98"/>
      <c r="E749" s="98"/>
      <c r="F749" s="99"/>
      <c r="G749" s="100"/>
      <c r="H749" s="100"/>
    </row>
    <row r="750" customHeight="1" spans="2:8">
      <c r="B750" s="98"/>
      <c r="C750" s="98"/>
      <c r="D750" s="98"/>
      <c r="E750" s="98"/>
      <c r="F750" s="99"/>
      <c r="G750" s="100"/>
      <c r="H750" s="100"/>
    </row>
    <row r="751" customHeight="1" spans="2:8">
      <c r="B751" s="98"/>
      <c r="C751" s="98"/>
      <c r="D751" s="98"/>
      <c r="E751" s="98"/>
      <c r="F751" s="99"/>
      <c r="G751" s="100"/>
      <c r="H751" s="100"/>
    </row>
    <row r="752" customHeight="1" spans="2:8">
      <c r="B752" s="98"/>
      <c r="C752" s="98"/>
      <c r="D752" s="98"/>
      <c r="E752" s="98"/>
      <c r="F752" s="99"/>
      <c r="G752" s="100"/>
      <c r="H752" s="100"/>
    </row>
    <row r="753" customHeight="1" spans="2:8">
      <c r="B753" s="98"/>
      <c r="C753" s="98"/>
      <c r="D753" s="98"/>
      <c r="E753" s="98"/>
      <c r="F753" s="99"/>
      <c r="G753" s="100"/>
      <c r="H753" s="100"/>
    </row>
    <row r="754" customHeight="1" spans="2:8">
      <c r="B754" s="98"/>
      <c r="C754" s="98"/>
      <c r="D754" s="98"/>
      <c r="E754" s="98"/>
      <c r="F754" s="99"/>
      <c r="G754" s="100"/>
      <c r="H754" s="100"/>
    </row>
    <row r="755" customHeight="1" spans="2:8">
      <c r="B755" s="98"/>
      <c r="C755" s="98"/>
      <c r="D755" s="98"/>
      <c r="E755" s="98"/>
      <c r="F755" s="99"/>
      <c r="G755" s="100"/>
      <c r="H755" s="100"/>
    </row>
    <row r="756" customHeight="1" spans="2:8">
      <c r="B756" s="98"/>
      <c r="C756" s="98"/>
      <c r="D756" s="98"/>
      <c r="E756" s="98"/>
      <c r="F756" s="99"/>
      <c r="G756" s="100"/>
      <c r="H756" s="100"/>
    </row>
    <row r="757" customHeight="1" spans="2:8">
      <c r="B757" s="98"/>
      <c r="C757" s="98"/>
      <c r="D757" s="98"/>
      <c r="E757" s="98"/>
      <c r="F757" s="99"/>
      <c r="G757" s="100"/>
      <c r="H757" s="100"/>
    </row>
    <row r="758" customHeight="1" spans="2:8">
      <c r="B758" s="98"/>
      <c r="C758" s="98"/>
      <c r="D758" s="98"/>
      <c r="E758" s="98"/>
      <c r="F758" s="99"/>
      <c r="G758" s="100"/>
      <c r="H758" s="100"/>
    </row>
    <row r="759" customHeight="1" spans="2:8">
      <c r="B759" s="98"/>
      <c r="C759" s="98"/>
      <c r="D759" s="98"/>
      <c r="E759" s="98"/>
      <c r="F759" s="99"/>
      <c r="G759" s="100"/>
      <c r="H759" s="100"/>
    </row>
    <row r="760" customHeight="1" spans="2:8">
      <c r="B760" s="98"/>
      <c r="C760" s="98"/>
      <c r="D760" s="98"/>
      <c r="E760" s="98"/>
      <c r="F760" s="99"/>
      <c r="G760" s="100"/>
      <c r="H760" s="100"/>
    </row>
    <row r="761" customHeight="1" spans="2:8">
      <c r="B761" s="98"/>
      <c r="C761" s="98"/>
      <c r="D761" s="98"/>
      <c r="E761" s="98"/>
      <c r="F761" s="99"/>
      <c r="G761" s="100"/>
      <c r="H761" s="100"/>
    </row>
    <row r="762" customHeight="1" spans="2:8">
      <c r="B762" s="98"/>
      <c r="C762" s="98"/>
      <c r="D762" s="98"/>
      <c r="E762" s="98"/>
      <c r="F762" s="99"/>
      <c r="G762" s="100"/>
      <c r="H762" s="100"/>
    </row>
    <row r="763" customHeight="1" spans="2:8">
      <c r="B763" s="98"/>
      <c r="C763" s="98"/>
      <c r="D763" s="98"/>
      <c r="E763" s="98"/>
      <c r="F763" s="99"/>
      <c r="G763" s="100"/>
      <c r="H763" s="100"/>
    </row>
    <row r="764" customHeight="1" spans="2:8">
      <c r="B764" s="98"/>
      <c r="C764" s="98"/>
      <c r="D764" s="98"/>
      <c r="E764" s="98"/>
      <c r="F764" s="99"/>
      <c r="G764" s="100"/>
      <c r="H764" s="100"/>
    </row>
    <row r="765" customHeight="1" spans="2:8">
      <c r="B765" s="98"/>
      <c r="C765" s="98"/>
      <c r="D765" s="98"/>
      <c r="E765" s="98"/>
      <c r="F765" s="99"/>
      <c r="G765" s="100"/>
      <c r="H765" s="100"/>
    </row>
    <row r="766" customHeight="1" spans="2:8">
      <c r="B766" s="98"/>
      <c r="C766" s="98"/>
      <c r="D766" s="98"/>
      <c r="E766" s="98"/>
      <c r="F766" s="99"/>
      <c r="G766" s="100"/>
      <c r="H766" s="100"/>
    </row>
    <row r="767" customHeight="1" spans="2:8">
      <c r="B767" s="98"/>
      <c r="C767" s="98"/>
      <c r="D767" s="98"/>
      <c r="E767" s="98"/>
      <c r="F767" s="99"/>
      <c r="G767" s="100"/>
      <c r="H767" s="100"/>
    </row>
    <row r="768" customHeight="1" spans="2:8">
      <c r="B768" s="98"/>
      <c r="C768" s="98"/>
      <c r="D768" s="98"/>
      <c r="E768" s="98"/>
      <c r="F768" s="99"/>
      <c r="G768" s="100"/>
      <c r="H768" s="100"/>
    </row>
    <row r="769" customHeight="1" spans="2:8">
      <c r="B769" s="98"/>
      <c r="C769" s="98"/>
      <c r="D769" s="98"/>
      <c r="E769" s="98"/>
      <c r="F769" s="99"/>
      <c r="G769" s="100"/>
      <c r="H769" s="100"/>
    </row>
    <row r="770" customHeight="1" spans="2:8">
      <c r="B770" s="98"/>
      <c r="C770" s="98"/>
      <c r="D770" s="98"/>
      <c r="E770" s="98"/>
      <c r="F770" s="99"/>
      <c r="G770" s="100"/>
      <c r="H770" s="100"/>
    </row>
    <row r="771" customHeight="1" spans="2:8">
      <c r="B771" s="98"/>
      <c r="C771" s="98"/>
      <c r="D771" s="98"/>
      <c r="E771" s="98"/>
      <c r="F771" s="99"/>
      <c r="G771" s="100"/>
      <c r="H771" s="100"/>
    </row>
    <row r="772" customHeight="1" spans="2:8">
      <c r="B772" s="98"/>
      <c r="C772" s="98"/>
      <c r="D772" s="98"/>
      <c r="E772" s="98"/>
      <c r="F772" s="99"/>
      <c r="G772" s="100"/>
      <c r="H772" s="100"/>
    </row>
    <row r="773" customHeight="1" spans="2:8">
      <c r="B773" s="98"/>
      <c r="C773" s="98"/>
      <c r="D773" s="98"/>
      <c r="E773" s="98"/>
      <c r="F773" s="99"/>
      <c r="G773" s="100"/>
      <c r="H773" s="100"/>
    </row>
    <row r="774" customHeight="1" spans="2:8">
      <c r="B774" s="98"/>
      <c r="C774" s="98"/>
      <c r="D774" s="98"/>
      <c r="E774" s="98"/>
      <c r="F774" s="99"/>
      <c r="G774" s="100"/>
      <c r="H774" s="100"/>
    </row>
    <row r="775" customHeight="1" spans="2:8">
      <c r="B775" s="98"/>
      <c r="C775" s="98"/>
      <c r="D775" s="98"/>
      <c r="E775" s="98"/>
      <c r="F775" s="99"/>
      <c r="G775" s="100"/>
      <c r="H775" s="100"/>
    </row>
    <row r="776" customHeight="1" spans="2:8">
      <c r="B776" s="98"/>
      <c r="C776" s="98"/>
      <c r="D776" s="98"/>
      <c r="E776" s="98"/>
      <c r="F776" s="99"/>
      <c r="G776" s="100"/>
      <c r="H776" s="100"/>
    </row>
    <row r="777" customHeight="1" spans="2:8">
      <c r="B777" s="98"/>
      <c r="C777" s="98"/>
      <c r="D777" s="98"/>
      <c r="E777" s="98"/>
      <c r="F777" s="99"/>
      <c r="G777" s="100"/>
      <c r="H777" s="100"/>
    </row>
    <row r="778" customHeight="1" spans="2:8">
      <c r="B778" s="98"/>
      <c r="C778" s="98"/>
      <c r="D778" s="98"/>
      <c r="E778" s="98"/>
      <c r="F778" s="99"/>
      <c r="G778" s="100"/>
      <c r="H778" s="100"/>
    </row>
    <row r="779" customHeight="1" spans="2:8">
      <c r="B779" s="98"/>
      <c r="C779" s="98"/>
      <c r="D779" s="98"/>
      <c r="E779" s="98"/>
      <c r="F779" s="99"/>
      <c r="G779" s="100"/>
      <c r="H779" s="100"/>
    </row>
    <row r="780" customHeight="1" spans="2:8">
      <c r="B780" s="98"/>
      <c r="C780" s="98"/>
      <c r="D780" s="98"/>
      <c r="E780" s="98"/>
      <c r="F780" s="99"/>
      <c r="G780" s="100"/>
      <c r="H780" s="100"/>
    </row>
    <row r="781" customHeight="1" spans="2:8">
      <c r="B781" s="98"/>
      <c r="C781" s="98"/>
      <c r="D781" s="98"/>
      <c r="E781" s="98"/>
      <c r="F781" s="99"/>
      <c r="G781" s="100"/>
      <c r="H781" s="100"/>
    </row>
    <row r="782" customHeight="1" spans="2:8">
      <c r="B782" s="98"/>
      <c r="C782" s="98"/>
      <c r="D782" s="98"/>
      <c r="E782" s="98"/>
      <c r="F782" s="99"/>
      <c r="G782" s="100"/>
      <c r="H782" s="100"/>
    </row>
    <row r="783" customHeight="1" spans="2:8">
      <c r="B783" s="98"/>
      <c r="C783" s="98"/>
      <c r="D783" s="98"/>
      <c r="E783" s="98"/>
      <c r="F783" s="99"/>
      <c r="G783" s="100"/>
      <c r="H783" s="100"/>
    </row>
    <row r="784" customHeight="1" spans="2:8">
      <c r="B784" s="98"/>
      <c r="C784" s="98"/>
      <c r="D784" s="98"/>
      <c r="E784" s="98"/>
      <c r="F784" s="99"/>
      <c r="G784" s="100"/>
      <c r="H784" s="100"/>
    </row>
    <row r="785" customHeight="1" spans="2:8">
      <c r="B785" s="98"/>
      <c r="C785" s="98"/>
      <c r="D785" s="98"/>
      <c r="E785" s="98"/>
      <c r="F785" s="99"/>
      <c r="G785" s="100"/>
      <c r="H785" s="100"/>
    </row>
    <row r="786" customHeight="1" spans="2:8">
      <c r="B786" s="98"/>
      <c r="C786" s="98"/>
      <c r="D786" s="98"/>
      <c r="E786" s="98"/>
      <c r="F786" s="99"/>
      <c r="G786" s="100"/>
      <c r="H786" s="100"/>
    </row>
    <row r="787" customHeight="1" spans="2:8">
      <c r="B787" s="98"/>
      <c r="C787" s="98"/>
      <c r="D787" s="98"/>
      <c r="E787" s="98"/>
      <c r="F787" s="99"/>
      <c r="G787" s="100"/>
      <c r="H787" s="100"/>
    </row>
    <row r="788" customHeight="1" spans="2:8">
      <c r="B788" s="98"/>
      <c r="C788" s="98"/>
      <c r="D788" s="98"/>
      <c r="E788" s="98"/>
      <c r="F788" s="99"/>
      <c r="G788" s="100"/>
      <c r="H788" s="100"/>
    </row>
    <row r="789" customHeight="1" spans="2:8">
      <c r="B789" s="98"/>
      <c r="C789" s="98"/>
      <c r="D789" s="98"/>
      <c r="E789" s="98"/>
      <c r="F789" s="99"/>
      <c r="G789" s="100"/>
      <c r="H789" s="100"/>
    </row>
    <row r="790" customHeight="1" spans="2:8">
      <c r="B790" s="98"/>
      <c r="C790" s="98"/>
      <c r="D790" s="98"/>
      <c r="E790" s="98"/>
      <c r="F790" s="99"/>
      <c r="G790" s="100"/>
      <c r="H790" s="100"/>
    </row>
    <row r="791" customHeight="1" spans="2:8">
      <c r="B791" s="98"/>
      <c r="C791" s="98"/>
      <c r="D791" s="98"/>
      <c r="E791" s="98"/>
      <c r="F791" s="99"/>
      <c r="G791" s="100"/>
      <c r="H791" s="100"/>
    </row>
    <row r="792" customHeight="1" spans="2:8">
      <c r="B792" s="98"/>
      <c r="C792" s="98"/>
      <c r="D792" s="98"/>
      <c r="E792" s="98"/>
      <c r="F792" s="99"/>
      <c r="G792" s="100"/>
      <c r="H792" s="100"/>
    </row>
    <row r="793" customHeight="1" spans="2:8">
      <c r="B793" s="98"/>
      <c r="C793" s="98"/>
      <c r="D793" s="98"/>
      <c r="E793" s="98"/>
      <c r="F793" s="99"/>
      <c r="G793" s="100"/>
      <c r="H793" s="100"/>
    </row>
    <row r="794" customHeight="1" spans="2:8">
      <c r="B794" s="98"/>
      <c r="C794" s="98"/>
      <c r="D794" s="98"/>
      <c r="E794" s="98"/>
      <c r="F794" s="99"/>
      <c r="G794" s="100"/>
      <c r="H794" s="100"/>
    </row>
    <row r="795" customHeight="1" spans="2:8">
      <c r="B795" s="98"/>
      <c r="C795" s="98"/>
      <c r="D795" s="98"/>
      <c r="E795" s="98"/>
      <c r="F795" s="99"/>
      <c r="G795" s="100"/>
      <c r="H795" s="100"/>
    </row>
    <row r="796" customHeight="1" spans="2:8">
      <c r="B796" s="98"/>
      <c r="C796" s="98"/>
      <c r="D796" s="98"/>
      <c r="E796" s="98"/>
      <c r="F796" s="99"/>
      <c r="G796" s="100"/>
      <c r="H796" s="100"/>
    </row>
    <row r="797" customHeight="1" spans="2:8">
      <c r="B797" s="98"/>
      <c r="C797" s="98"/>
      <c r="D797" s="98"/>
      <c r="E797" s="98"/>
      <c r="F797" s="99"/>
      <c r="G797" s="100"/>
      <c r="H797" s="100"/>
    </row>
    <row r="798" customHeight="1" spans="2:8">
      <c r="B798" s="98"/>
      <c r="C798" s="98"/>
      <c r="D798" s="98"/>
      <c r="E798" s="98"/>
      <c r="F798" s="99"/>
      <c r="G798" s="100"/>
      <c r="H798" s="100"/>
    </row>
    <row r="799" customHeight="1" spans="2:8">
      <c r="B799" s="98"/>
      <c r="C799" s="98"/>
      <c r="D799" s="98"/>
      <c r="E799" s="98"/>
      <c r="F799" s="99"/>
      <c r="G799" s="100"/>
      <c r="H799" s="100"/>
    </row>
    <row r="800" customHeight="1" spans="2:8">
      <c r="B800" s="98"/>
      <c r="C800" s="98"/>
      <c r="D800" s="98"/>
      <c r="E800" s="98"/>
      <c r="F800" s="99"/>
      <c r="G800" s="100"/>
      <c r="H800" s="100"/>
    </row>
    <row r="801" customHeight="1" spans="2:8">
      <c r="B801" s="98"/>
      <c r="C801" s="98"/>
      <c r="D801" s="98"/>
      <c r="E801" s="98"/>
      <c r="F801" s="99"/>
      <c r="G801" s="100"/>
      <c r="H801" s="100"/>
    </row>
    <row r="802" customHeight="1" spans="2:8">
      <c r="B802" s="98"/>
      <c r="C802" s="98"/>
      <c r="D802" s="98"/>
      <c r="E802" s="98"/>
      <c r="F802" s="99"/>
      <c r="G802" s="100"/>
      <c r="H802" s="100"/>
    </row>
    <row r="803" customHeight="1" spans="2:8">
      <c r="B803" s="98"/>
      <c r="C803" s="98"/>
      <c r="D803" s="98"/>
      <c r="E803" s="98"/>
      <c r="F803" s="99"/>
      <c r="G803" s="100"/>
      <c r="H803" s="100"/>
    </row>
    <row r="804" customHeight="1" spans="2:8">
      <c r="B804" s="98"/>
      <c r="C804" s="98"/>
      <c r="D804" s="98"/>
      <c r="E804" s="98"/>
      <c r="F804" s="99"/>
      <c r="G804" s="100"/>
      <c r="H804" s="100"/>
    </row>
    <row r="805" customHeight="1" spans="2:8">
      <c r="B805" s="98"/>
      <c r="C805" s="98"/>
      <c r="D805" s="98"/>
      <c r="E805" s="98"/>
      <c r="F805" s="99"/>
      <c r="G805" s="100"/>
      <c r="H805" s="100"/>
    </row>
    <row r="806" customHeight="1" spans="2:8">
      <c r="B806" s="98"/>
      <c r="C806" s="98"/>
      <c r="D806" s="98"/>
      <c r="E806" s="98"/>
      <c r="F806" s="99"/>
      <c r="G806" s="100"/>
      <c r="H806" s="100"/>
    </row>
    <row r="807" customHeight="1" spans="2:8">
      <c r="B807" s="98"/>
      <c r="C807" s="98"/>
      <c r="D807" s="98"/>
      <c r="E807" s="98"/>
      <c r="F807" s="99"/>
      <c r="G807" s="100"/>
      <c r="H807" s="100"/>
    </row>
    <row r="808" customHeight="1" spans="2:8">
      <c r="B808" s="98"/>
      <c r="C808" s="98"/>
      <c r="D808" s="98"/>
      <c r="E808" s="98"/>
      <c r="F808" s="99"/>
      <c r="G808" s="100"/>
      <c r="H808" s="100"/>
    </row>
    <row r="809" customHeight="1" spans="2:8">
      <c r="B809" s="98"/>
      <c r="C809" s="98"/>
      <c r="D809" s="98"/>
      <c r="E809" s="98"/>
      <c r="F809" s="99"/>
      <c r="G809" s="100"/>
      <c r="H809" s="100"/>
    </row>
    <row r="810" customHeight="1" spans="2:8">
      <c r="B810" s="98"/>
      <c r="C810" s="98"/>
      <c r="D810" s="98"/>
      <c r="E810" s="98"/>
      <c r="F810" s="99"/>
      <c r="G810" s="100"/>
      <c r="H810" s="100"/>
    </row>
    <row r="811" customHeight="1" spans="2:8">
      <c r="B811" s="98"/>
      <c r="C811" s="98"/>
      <c r="D811" s="98"/>
      <c r="E811" s="98"/>
      <c r="F811" s="99"/>
      <c r="G811" s="100"/>
      <c r="H811" s="100"/>
    </row>
    <row r="812" customHeight="1" spans="2:8">
      <c r="B812" s="98"/>
      <c r="C812" s="98"/>
      <c r="D812" s="98"/>
      <c r="E812" s="98"/>
      <c r="F812" s="99"/>
      <c r="G812" s="100"/>
      <c r="H812" s="100"/>
    </row>
    <row r="813" customHeight="1" spans="2:8">
      <c r="B813" s="98"/>
      <c r="C813" s="98"/>
      <c r="D813" s="98"/>
      <c r="E813" s="98"/>
      <c r="F813" s="99"/>
      <c r="G813" s="100"/>
      <c r="H813" s="100"/>
    </row>
    <row r="814" customHeight="1" spans="2:8">
      <c r="B814" s="98"/>
      <c r="C814" s="98"/>
      <c r="D814" s="98"/>
      <c r="E814" s="98"/>
      <c r="F814" s="99"/>
      <c r="G814" s="100"/>
      <c r="H814" s="100"/>
    </row>
    <row r="815" customHeight="1" spans="2:8">
      <c r="B815" s="98"/>
      <c r="C815" s="98"/>
      <c r="D815" s="98"/>
      <c r="E815" s="98"/>
      <c r="F815" s="99"/>
      <c r="G815" s="100"/>
      <c r="H815" s="100"/>
    </row>
    <row r="816" customHeight="1" spans="2:8">
      <c r="B816" s="98"/>
      <c r="C816" s="98"/>
      <c r="D816" s="98"/>
      <c r="E816" s="98"/>
      <c r="F816" s="99"/>
      <c r="G816" s="100"/>
      <c r="H816" s="100"/>
    </row>
    <row r="817" customHeight="1" spans="2:8">
      <c r="B817" s="98"/>
      <c r="C817" s="98"/>
      <c r="D817" s="98"/>
      <c r="E817" s="98"/>
      <c r="F817" s="99"/>
      <c r="G817" s="100"/>
      <c r="H817" s="100"/>
    </row>
    <row r="818" customHeight="1" spans="2:8">
      <c r="B818" s="98"/>
      <c r="C818" s="98"/>
      <c r="D818" s="98"/>
      <c r="E818" s="98"/>
      <c r="F818" s="99"/>
      <c r="G818" s="100"/>
      <c r="H818" s="100"/>
    </row>
    <row r="819" customHeight="1" spans="2:8">
      <c r="B819" s="98"/>
      <c r="C819" s="98"/>
      <c r="D819" s="98"/>
      <c r="E819" s="98"/>
      <c r="F819" s="99"/>
      <c r="G819" s="100"/>
      <c r="H819" s="100"/>
    </row>
    <row r="820" customHeight="1" spans="2:8">
      <c r="B820" s="98"/>
      <c r="C820" s="98"/>
      <c r="D820" s="98"/>
      <c r="E820" s="98"/>
      <c r="F820" s="99"/>
      <c r="G820" s="100"/>
      <c r="H820" s="100"/>
    </row>
    <row r="821" customHeight="1" spans="2:8">
      <c r="B821" s="98"/>
      <c r="C821" s="98"/>
      <c r="D821" s="98"/>
      <c r="E821" s="98"/>
      <c r="F821" s="99"/>
      <c r="G821" s="100"/>
      <c r="H821" s="100"/>
    </row>
    <row r="822" customHeight="1" spans="2:8">
      <c r="B822" s="98"/>
      <c r="C822" s="98"/>
      <c r="D822" s="98"/>
      <c r="E822" s="98"/>
      <c r="F822" s="99"/>
      <c r="G822" s="100"/>
      <c r="H822" s="100"/>
    </row>
    <row r="823" customHeight="1" spans="2:8">
      <c r="B823" s="98"/>
      <c r="C823" s="98"/>
      <c r="D823" s="98"/>
      <c r="E823" s="98"/>
      <c r="F823" s="99"/>
      <c r="G823" s="100"/>
      <c r="H823" s="100"/>
    </row>
    <row r="824" customHeight="1" spans="2:8">
      <c r="B824" s="98"/>
      <c r="C824" s="98"/>
      <c r="D824" s="98"/>
      <c r="E824" s="98"/>
      <c r="F824" s="99"/>
      <c r="G824" s="100"/>
      <c r="H824" s="100"/>
    </row>
    <row r="825" customHeight="1" spans="2:8">
      <c r="B825" s="98"/>
      <c r="C825" s="98"/>
      <c r="D825" s="98"/>
      <c r="E825" s="98"/>
      <c r="F825" s="99"/>
      <c r="G825" s="100"/>
      <c r="H825" s="100"/>
    </row>
    <row r="826" customHeight="1" spans="2:8">
      <c r="B826" s="98"/>
      <c r="C826" s="98"/>
      <c r="D826" s="98"/>
      <c r="E826" s="98"/>
      <c r="F826" s="99"/>
      <c r="G826" s="100"/>
      <c r="H826" s="100"/>
    </row>
    <row r="827" customHeight="1" spans="2:8">
      <c r="B827" s="98"/>
      <c r="C827" s="98"/>
      <c r="D827" s="98"/>
      <c r="E827" s="98"/>
      <c r="F827" s="99"/>
      <c r="G827" s="100"/>
      <c r="H827" s="100"/>
    </row>
    <row r="828" customHeight="1" spans="2:8">
      <c r="B828" s="98"/>
      <c r="C828" s="98"/>
      <c r="D828" s="98"/>
      <c r="E828" s="98"/>
      <c r="F828" s="99"/>
      <c r="G828" s="100"/>
      <c r="H828" s="100"/>
    </row>
    <row r="829" customHeight="1" spans="2:8">
      <c r="B829" s="98"/>
      <c r="C829" s="98"/>
      <c r="D829" s="98"/>
      <c r="E829" s="98"/>
      <c r="F829" s="99"/>
      <c r="G829" s="100"/>
      <c r="H829" s="100"/>
    </row>
    <row r="830" customHeight="1" spans="2:8">
      <c r="B830" s="98"/>
      <c r="C830" s="98"/>
      <c r="D830" s="98"/>
      <c r="E830" s="98"/>
      <c r="F830" s="99"/>
      <c r="G830" s="100"/>
      <c r="H830" s="100"/>
    </row>
    <row r="831" customHeight="1" spans="2:8">
      <c r="B831" s="98"/>
      <c r="C831" s="98"/>
      <c r="D831" s="98"/>
      <c r="E831" s="98"/>
      <c r="F831" s="99"/>
      <c r="G831" s="100"/>
      <c r="H831" s="100"/>
    </row>
    <row r="832" customHeight="1" spans="2:8">
      <c r="B832" s="98"/>
      <c r="C832" s="98"/>
      <c r="D832" s="98"/>
      <c r="E832" s="98"/>
      <c r="F832" s="99"/>
      <c r="G832" s="100"/>
      <c r="H832" s="100"/>
    </row>
    <row r="833" customHeight="1" spans="2:8">
      <c r="B833" s="98"/>
      <c r="C833" s="98"/>
      <c r="D833" s="98"/>
      <c r="E833" s="98"/>
      <c r="F833" s="99"/>
      <c r="G833" s="100"/>
      <c r="H833" s="100"/>
    </row>
    <row r="834" customHeight="1" spans="2:8">
      <c r="B834" s="98"/>
      <c r="C834" s="98"/>
      <c r="D834" s="98"/>
      <c r="E834" s="98"/>
      <c r="F834" s="99"/>
      <c r="G834" s="100"/>
      <c r="H834" s="100"/>
    </row>
    <row r="835" customHeight="1" spans="2:8">
      <c r="B835" s="98"/>
      <c r="C835" s="98"/>
      <c r="D835" s="98"/>
      <c r="E835" s="98"/>
      <c r="F835" s="99"/>
      <c r="G835" s="100"/>
      <c r="H835" s="100"/>
    </row>
    <row r="836" customHeight="1" spans="2:8">
      <c r="B836" s="98"/>
      <c r="C836" s="98"/>
      <c r="D836" s="98"/>
      <c r="E836" s="98"/>
      <c r="F836" s="99"/>
      <c r="G836" s="100"/>
      <c r="H836" s="100"/>
    </row>
    <row r="837" customHeight="1" spans="2:8">
      <c r="B837" s="98"/>
      <c r="C837" s="98"/>
      <c r="D837" s="98"/>
      <c r="E837" s="98"/>
      <c r="F837" s="99"/>
      <c r="G837" s="100"/>
      <c r="H837" s="100"/>
    </row>
    <row r="838" customHeight="1" spans="2:8">
      <c r="B838" s="98"/>
      <c r="C838" s="98"/>
      <c r="D838" s="98"/>
      <c r="E838" s="98"/>
      <c r="F838" s="99"/>
      <c r="G838" s="100"/>
      <c r="H838" s="100"/>
    </row>
    <row r="839" customHeight="1" spans="2:8">
      <c r="B839" s="98"/>
      <c r="C839" s="98"/>
      <c r="D839" s="98"/>
      <c r="E839" s="98"/>
      <c r="F839" s="99"/>
      <c r="G839" s="100"/>
      <c r="H839" s="100"/>
    </row>
    <row r="840" customHeight="1" spans="2:8">
      <c r="B840" s="98"/>
      <c r="C840" s="98"/>
      <c r="D840" s="98"/>
      <c r="E840" s="98"/>
      <c r="F840" s="99"/>
      <c r="G840" s="100"/>
      <c r="H840" s="100"/>
    </row>
    <row r="841" customHeight="1" spans="2:8">
      <c r="B841" s="98"/>
      <c r="C841" s="98"/>
      <c r="D841" s="98"/>
      <c r="E841" s="98"/>
      <c r="F841" s="99"/>
      <c r="G841" s="100"/>
      <c r="H841" s="100"/>
    </row>
    <row r="842" customHeight="1" spans="2:8">
      <c r="B842" s="98"/>
      <c r="C842" s="98"/>
      <c r="D842" s="98"/>
      <c r="E842" s="98"/>
      <c r="F842" s="99"/>
      <c r="G842" s="100"/>
      <c r="H842" s="100"/>
    </row>
    <row r="843" customHeight="1" spans="2:8">
      <c r="B843" s="98"/>
      <c r="C843" s="98"/>
      <c r="D843" s="98"/>
      <c r="E843" s="98"/>
      <c r="F843" s="99"/>
      <c r="G843" s="100"/>
      <c r="H843" s="100"/>
    </row>
    <row r="844" customHeight="1" spans="2:8">
      <c r="B844" s="98"/>
      <c r="C844" s="98"/>
      <c r="D844" s="98"/>
      <c r="E844" s="98"/>
      <c r="F844" s="99"/>
      <c r="G844" s="100"/>
      <c r="H844" s="100"/>
    </row>
    <row r="845" customHeight="1" spans="2:8">
      <c r="B845" s="98"/>
      <c r="C845" s="98"/>
      <c r="D845" s="98"/>
      <c r="E845" s="98"/>
      <c r="F845" s="99"/>
      <c r="G845" s="100"/>
      <c r="H845" s="100"/>
    </row>
    <row r="846" customHeight="1" spans="2:8">
      <c r="B846" s="98"/>
      <c r="C846" s="98"/>
      <c r="D846" s="98"/>
      <c r="E846" s="98"/>
      <c r="F846" s="99"/>
      <c r="G846" s="100"/>
      <c r="H846" s="100"/>
    </row>
    <row r="847" customHeight="1" spans="2:8">
      <c r="B847" s="98"/>
      <c r="C847" s="98"/>
      <c r="D847" s="98"/>
      <c r="E847" s="98"/>
      <c r="F847" s="99"/>
      <c r="G847" s="100"/>
      <c r="H847" s="100"/>
    </row>
    <row r="848" customHeight="1" spans="2:8">
      <c r="B848" s="98"/>
      <c r="C848" s="98"/>
      <c r="D848" s="98"/>
      <c r="E848" s="98"/>
      <c r="F848" s="99"/>
      <c r="G848" s="100"/>
      <c r="H848" s="100"/>
    </row>
    <row r="849" customHeight="1" spans="2:8">
      <c r="B849" s="98"/>
      <c r="C849" s="98"/>
      <c r="D849" s="98"/>
      <c r="E849" s="98"/>
      <c r="F849" s="99"/>
      <c r="G849" s="100"/>
      <c r="H849" s="100"/>
    </row>
    <row r="850" customHeight="1" spans="2:8">
      <c r="B850" s="98"/>
      <c r="C850" s="98"/>
      <c r="D850" s="98"/>
      <c r="E850" s="98"/>
      <c r="F850" s="99"/>
      <c r="G850" s="100"/>
      <c r="H850" s="100"/>
    </row>
    <row r="851" customHeight="1" spans="2:8">
      <c r="B851" s="98"/>
      <c r="C851" s="98"/>
      <c r="D851" s="98"/>
      <c r="E851" s="98"/>
      <c r="F851" s="99"/>
      <c r="G851" s="100"/>
      <c r="H851" s="100"/>
    </row>
    <row r="852" customHeight="1" spans="2:8">
      <c r="B852" s="98"/>
      <c r="C852" s="98"/>
      <c r="D852" s="98"/>
      <c r="E852" s="98"/>
      <c r="F852" s="99"/>
      <c r="G852" s="100"/>
      <c r="H852" s="100"/>
    </row>
    <row r="853" customHeight="1" spans="2:8">
      <c r="B853" s="98"/>
      <c r="C853" s="98"/>
      <c r="D853" s="98"/>
      <c r="E853" s="98"/>
      <c r="F853" s="99"/>
      <c r="G853" s="100"/>
      <c r="H853" s="100"/>
    </row>
    <row r="854" customHeight="1" spans="2:8">
      <c r="B854" s="98"/>
      <c r="C854" s="98"/>
      <c r="D854" s="98"/>
      <c r="E854" s="98"/>
      <c r="F854" s="99"/>
      <c r="G854" s="100"/>
      <c r="H854" s="100"/>
    </row>
    <row r="855" customHeight="1" spans="2:8">
      <c r="B855" s="98"/>
      <c r="C855" s="98"/>
      <c r="D855" s="98"/>
      <c r="E855" s="98"/>
      <c r="F855" s="99"/>
      <c r="G855" s="100"/>
      <c r="H855" s="100"/>
    </row>
    <row r="856" customHeight="1" spans="2:8">
      <c r="B856" s="98"/>
      <c r="C856" s="98"/>
      <c r="D856" s="98"/>
      <c r="E856" s="98"/>
      <c r="F856" s="99"/>
      <c r="G856" s="100"/>
      <c r="H856" s="100"/>
    </row>
    <row r="857" customHeight="1" spans="2:8">
      <c r="B857" s="98"/>
      <c r="C857" s="98"/>
      <c r="D857" s="98"/>
      <c r="E857" s="98"/>
      <c r="F857" s="99"/>
      <c r="G857" s="100"/>
      <c r="H857" s="100"/>
    </row>
    <row r="858" customHeight="1" spans="2:8">
      <c r="B858" s="98"/>
      <c r="C858" s="98"/>
      <c r="D858" s="98"/>
      <c r="E858" s="98"/>
      <c r="F858" s="99"/>
      <c r="G858" s="100"/>
      <c r="H858" s="100"/>
    </row>
    <row r="859" customHeight="1" spans="2:8">
      <c r="B859" s="98"/>
      <c r="C859" s="98"/>
      <c r="D859" s="98"/>
      <c r="E859" s="98"/>
      <c r="F859" s="99"/>
      <c r="G859" s="100"/>
      <c r="H859" s="100"/>
    </row>
    <row r="860" customHeight="1" spans="2:8">
      <c r="B860" s="98"/>
      <c r="C860" s="98"/>
      <c r="D860" s="98"/>
      <c r="E860" s="98"/>
      <c r="F860" s="99"/>
      <c r="G860" s="100"/>
      <c r="H860" s="100"/>
    </row>
    <row r="861" customHeight="1" spans="2:8">
      <c r="B861" s="98"/>
      <c r="C861" s="98"/>
      <c r="D861" s="98"/>
      <c r="E861" s="98"/>
      <c r="F861" s="99"/>
      <c r="G861" s="100"/>
      <c r="H861" s="100"/>
    </row>
    <row r="862" customHeight="1" spans="2:8">
      <c r="B862" s="98"/>
      <c r="C862" s="98"/>
      <c r="D862" s="98"/>
      <c r="E862" s="98"/>
      <c r="F862" s="99"/>
      <c r="G862" s="100"/>
      <c r="H862" s="100"/>
    </row>
    <row r="863" customHeight="1" spans="2:8">
      <c r="B863" s="98"/>
      <c r="C863" s="98"/>
      <c r="D863" s="98"/>
      <c r="E863" s="98"/>
      <c r="F863" s="99"/>
      <c r="G863" s="100"/>
      <c r="H863" s="100"/>
    </row>
    <row r="864" customHeight="1" spans="2:8">
      <c r="B864" s="98"/>
      <c r="C864" s="98"/>
      <c r="D864" s="98"/>
      <c r="E864" s="98"/>
      <c r="F864" s="99"/>
      <c r="G864" s="100"/>
      <c r="H864" s="100"/>
    </row>
    <row r="865" customHeight="1" spans="2:8">
      <c r="B865" s="98"/>
      <c r="C865" s="98"/>
      <c r="D865" s="98"/>
      <c r="E865" s="98"/>
      <c r="F865" s="99"/>
      <c r="G865" s="100"/>
      <c r="H865" s="100"/>
    </row>
    <row r="866" customHeight="1" spans="2:8">
      <c r="B866" s="98"/>
      <c r="C866" s="98"/>
      <c r="D866" s="98"/>
      <c r="E866" s="98"/>
      <c r="F866" s="99"/>
      <c r="G866" s="100"/>
      <c r="H866" s="100"/>
    </row>
    <row r="867" customHeight="1" spans="2:8">
      <c r="B867" s="98"/>
      <c r="C867" s="98"/>
      <c r="D867" s="98"/>
      <c r="E867" s="98"/>
      <c r="F867" s="99"/>
      <c r="G867" s="100"/>
      <c r="H867" s="100"/>
    </row>
    <row r="868" customHeight="1" spans="2:8">
      <c r="B868" s="98"/>
      <c r="C868" s="98"/>
      <c r="D868" s="98"/>
      <c r="E868" s="98"/>
      <c r="F868" s="99"/>
      <c r="G868" s="100"/>
      <c r="H868" s="100"/>
    </row>
    <row r="869" customHeight="1" spans="2:8">
      <c r="B869" s="98"/>
      <c r="C869" s="98"/>
      <c r="D869" s="98"/>
      <c r="E869" s="98"/>
      <c r="F869" s="99"/>
      <c r="G869" s="100"/>
      <c r="H869" s="100"/>
    </row>
    <row r="870" customHeight="1" spans="2:8">
      <c r="B870" s="98"/>
      <c r="C870" s="98"/>
      <c r="D870" s="98"/>
      <c r="E870" s="98"/>
      <c r="F870" s="99"/>
      <c r="G870" s="100"/>
      <c r="H870" s="100"/>
    </row>
    <row r="871" customHeight="1" spans="2:8">
      <c r="B871" s="98"/>
      <c r="C871" s="98"/>
      <c r="D871" s="98"/>
      <c r="E871" s="98"/>
      <c r="F871" s="99"/>
      <c r="G871" s="100"/>
      <c r="H871" s="100"/>
    </row>
    <row r="872" customHeight="1" spans="2:8">
      <c r="B872" s="98"/>
      <c r="C872" s="98"/>
      <c r="D872" s="98"/>
      <c r="E872" s="98"/>
      <c r="F872" s="99"/>
      <c r="G872" s="100"/>
      <c r="H872" s="100"/>
    </row>
    <row r="873" customHeight="1" spans="2:8">
      <c r="B873" s="98"/>
      <c r="C873" s="98"/>
      <c r="D873" s="98"/>
      <c r="E873" s="98"/>
      <c r="F873" s="99"/>
      <c r="G873" s="100"/>
      <c r="H873" s="100"/>
    </row>
    <row r="874" customHeight="1" spans="2:8">
      <c r="B874" s="98"/>
      <c r="C874" s="98"/>
      <c r="D874" s="98"/>
      <c r="E874" s="98"/>
      <c r="F874" s="99"/>
      <c r="G874" s="100"/>
      <c r="H874" s="100"/>
    </row>
    <row r="875" customHeight="1" spans="2:8">
      <c r="B875" s="98"/>
      <c r="C875" s="98"/>
      <c r="D875" s="98"/>
      <c r="E875" s="98"/>
      <c r="F875" s="99"/>
      <c r="G875" s="100"/>
      <c r="H875" s="100"/>
    </row>
    <row r="876" customHeight="1" spans="2:8">
      <c r="B876" s="98"/>
      <c r="C876" s="98"/>
      <c r="D876" s="98"/>
      <c r="E876" s="98"/>
      <c r="F876" s="99"/>
      <c r="G876" s="100"/>
      <c r="H876" s="100"/>
    </row>
    <row r="877" customHeight="1" spans="2:8">
      <c r="B877" s="98"/>
      <c r="C877" s="98"/>
      <c r="D877" s="98"/>
      <c r="E877" s="98"/>
      <c r="F877" s="99"/>
      <c r="G877" s="100"/>
      <c r="H877" s="100"/>
    </row>
    <row r="878" customHeight="1" spans="2:8">
      <c r="B878" s="98"/>
      <c r="C878" s="98"/>
      <c r="D878" s="98"/>
      <c r="E878" s="98"/>
      <c r="F878" s="99"/>
      <c r="G878" s="100"/>
      <c r="H878" s="100"/>
    </row>
    <row r="879" customHeight="1" spans="2:8">
      <c r="B879" s="98"/>
      <c r="C879" s="98"/>
      <c r="D879" s="98"/>
      <c r="E879" s="98"/>
      <c r="F879" s="99"/>
      <c r="G879" s="100"/>
      <c r="H879" s="100"/>
    </row>
    <row r="880" customHeight="1" spans="2:8">
      <c r="B880" s="98"/>
      <c r="C880" s="98"/>
      <c r="D880" s="98"/>
      <c r="E880" s="98"/>
      <c r="F880" s="99"/>
      <c r="G880" s="100"/>
      <c r="H880" s="100"/>
    </row>
    <row r="881" customHeight="1" spans="2:8">
      <c r="B881" s="98"/>
      <c r="C881" s="98"/>
      <c r="D881" s="98"/>
      <c r="E881" s="98"/>
      <c r="F881" s="99"/>
      <c r="G881" s="100"/>
      <c r="H881" s="100"/>
    </row>
    <row r="882" customHeight="1" spans="2:8">
      <c r="B882" s="98"/>
      <c r="C882" s="98"/>
      <c r="D882" s="98"/>
      <c r="E882" s="98"/>
      <c r="F882" s="99"/>
      <c r="G882" s="100"/>
      <c r="H882" s="100"/>
    </row>
    <row r="883" customHeight="1" spans="2:8">
      <c r="B883" s="98"/>
      <c r="C883" s="98"/>
      <c r="D883" s="98"/>
      <c r="E883" s="98"/>
      <c r="F883" s="99"/>
      <c r="G883" s="100"/>
      <c r="H883" s="100"/>
    </row>
    <row r="884" customHeight="1" spans="2:8">
      <c r="B884" s="98"/>
      <c r="C884" s="98"/>
      <c r="D884" s="98"/>
      <c r="E884" s="98"/>
      <c r="F884" s="99"/>
      <c r="G884" s="100"/>
      <c r="H884" s="100"/>
    </row>
    <row r="885" customHeight="1" spans="2:8">
      <c r="B885" s="98"/>
      <c r="C885" s="98"/>
      <c r="D885" s="98"/>
      <c r="E885" s="98"/>
      <c r="F885" s="99"/>
      <c r="G885" s="100"/>
      <c r="H885" s="100"/>
    </row>
    <row r="886" customHeight="1" spans="2:8">
      <c r="B886" s="98"/>
      <c r="C886" s="98"/>
      <c r="D886" s="98"/>
      <c r="E886" s="98"/>
      <c r="F886" s="99"/>
      <c r="G886" s="100"/>
      <c r="H886" s="100"/>
    </row>
    <row r="887" customHeight="1" spans="2:8">
      <c r="B887" s="98"/>
      <c r="C887" s="98"/>
      <c r="D887" s="98"/>
      <c r="E887" s="98"/>
      <c r="F887" s="99"/>
      <c r="G887" s="100"/>
      <c r="H887" s="100"/>
    </row>
    <row r="888" customHeight="1" spans="2:8">
      <c r="B888" s="98"/>
      <c r="C888" s="98"/>
      <c r="D888" s="98"/>
      <c r="E888" s="98"/>
      <c r="F888" s="99"/>
      <c r="G888" s="100"/>
      <c r="H888" s="100"/>
    </row>
    <row r="889" customHeight="1" spans="2:8">
      <c r="B889" s="98"/>
      <c r="C889" s="98"/>
      <c r="D889" s="98"/>
      <c r="E889" s="98"/>
      <c r="F889" s="99"/>
      <c r="G889" s="100"/>
      <c r="H889" s="100"/>
    </row>
    <row r="890" customHeight="1" spans="2:8">
      <c r="B890" s="98"/>
      <c r="C890" s="98"/>
      <c r="D890" s="98"/>
      <c r="E890" s="98"/>
      <c r="F890" s="99"/>
      <c r="G890" s="100"/>
      <c r="H890" s="100"/>
    </row>
    <row r="891" customHeight="1" spans="2:8">
      <c r="B891" s="98"/>
      <c r="C891" s="98"/>
      <c r="D891" s="98"/>
      <c r="E891" s="98"/>
      <c r="F891" s="99"/>
      <c r="G891" s="100"/>
      <c r="H891" s="100"/>
    </row>
    <row r="892" customHeight="1" spans="2:8">
      <c r="B892" s="98"/>
      <c r="C892" s="98"/>
      <c r="D892" s="98"/>
      <c r="E892" s="98"/>
      <c r="F892" s="99"/>
      <c r="G892" s="100"/>
      <c r="H892" s="100"/>
    </row>
    <row r="893" customHeight="1" spans="2:8">
      <c r="B893" s="98"/>
      <c r="C893" s="98"/>
      <c r="D893" s="98"/>
      <c r="E893" s="98"/>
      <c r="F893" s="99"/>
      <c r="G893" s="100"/>
      <c r="H893" s="100"/>
    </row>
    <row r="894" customHeight="1" spans="2:8">
      <c r="B894" s="98"/>
      <c r="C894" s="98"/>
      <c r="D894" s="98"/>
      <c r="E894" s="98"/>
      <c r="F894" s="99"/>
      <c r="G894" s="100"/>
      <c r="H894" s="100"/>
    </row>
    <row r="895" customHeight="1" spans="2:8">
      <c r="B895" s="98"/>
      <c r="C895" s="98"/>
      <c r="D895" s="98"/>
      <c r="E895" s="98"/>
      <c r="F895" s="99"/>
      <c r="G895" s="100"/>
      <c r="H895" s="100"/>
    </row>
    <row r="896" customHeight="1" spans="2:8">
      <c r="B896" s="98"/>
      <c r="C896" s="98"/>
      <c r="D896" s="98"/>
      <c r="E896" s="98"/>
      <c r="F896" s="99"/>
      <c r="G896" s="100"/>
      <c r="H896" s="100"/>
    </row>
    <row r="897" customHeight="1" spans="2:8">
      <c r="B897" s="98"/>
      <c r="C897" s="98"/>
      <c r="D897" s="98"/>
      <c r="E897" s="98"/>
      <c r="F897" s="99"/>
      <c r="G897" s="100"/>
      <c r="H897" s="100"/>
    </row>
    <row r="898" customHeight="1" spans="2:8">
      <c r="B898" s="98"/>
      <c r="C898" s="98"/>
      <c r="D898" s="98"/>
      <c r="E898" s="98"/>
      <c r="F898" s="99"/>
      <c r="G898" s="100"/>
      <c r="H898" s="100"/>
    </row>
    <row r="899" customHeight="1" spans="2:8">
      <c r="B899" s="98"/>
      <c r="C899" s="98"/>
      <c r="D899" s="98"/>
      <c r="E899" s="98"/>
      <c r="F899" s="99"/>
      <c r="G899" s="100"/>
      <c r="H899" s="100"/>
    </row>
    <row r="900" customHeight="1" spans="2:8">
      <c r="B900" s="98"/>
      <c r="C900" s="98"/>
      <c r="D900" s="98"/>
      <c r="E900" s="98"/>
      <c r="F900" s="99"/>
      <c r="G900" s="100"/>
      <c r="H900" s="100"/>
    </row>
    <row r="901" customHeight="1" spans="2:8">
      <c r="B901" s="98"/>
      <c r="C901" s="98"/>
      <c r="D901" s="98"/>
      <c r="E901" s="98"/>
      <c r="F901" s="99"/>
      <c r="G901" s="100"/>
      <c r="H901" s="100"/>
    </row>
    <row r="902" customHeight="1" spans="2:8">
      <c r="B902" s="98"/>
      <c r="C902" s="98"/>
      <c r="D902" s="98"/>
      <c r="E902" s="98"/>
      <c r="F902" s="99"/>
      <c r="G902" s="100"/>
      <c r="H902" s="100"/>
    </row>
    <row r="903" customHeight="1" spans="2:8">
      <c r="B903" s="98"/>
      <c r="C903" s="98"/>
      <c r="D903" s="98"/>
      <c r="E903" s="98"/>
      <c r="F903" s="99"/>
      <c r="G903" s="100"/>
      <c r="H903" s="100"/>
    </row>
    <row r="904" customHeight="1" spans="2:8">
      <c r="B904" s="98"/>
      <c r="C904" s="98"/>
      <c r="D904" s="98"/>
      <c r="E904" s="98"/>
      <c r="F904" s="99"/>
      <c r="G904" s="100"/>
      <c r="H904" s="100"/>
    </row>
    <row r="905" customHeight="1" spans="2:8">
      <c r="B905" s="98"/>
      <c r="C905" s="98"/>
      <c r="D905" s="98"/>
      <c r="E905" s="98"/>
      <c r="F905" s="99"/>
      <c r="G905" s="100"/>
      <c r="H905" s="100"/>
    </row>
    <row r="906" customHeight="1" spans="2:8">
      <c r="B906" s="98"/>
      <c r="C906" s="98"/>
      <c r="D906" s="98"/>
      <c r="E906" s="98"/>
      <c r="F906" s="99"/>
      <c r="G906" s="100"/>
      <c r="H906" s="100"/>
    </row>
    <row r="907" customHeight="1" spans="2:8">
      <c r="B907" s="98"/>
      <c r="C907" s="98"/>
      <c r="D907" s="98"/>
      <c r="E907" s="98"/>
      <c r="F907" s="99"/>
      <c r="G907" s="100"/>
      <c r="H907" s="100"/>
    </row>
    <row r="908" customHeight="1" spans="2:8">
      <c r="B908" s="98"/>
      <c r="C908" s="98"/>
      <c r="D908" s="98"/>
      <c r="E908" s="98"/>
      <c r="F908" s="99"/>
      <c r="G908" s="100"/>
      <c r="H908" s="100"/>
    </row>
    <row r="909" customHeight="1" spans="2:8">
      <c r="B909" s="98"/>
      <c r="C909" s="98"/>
      <c r="D909" s="98"/>
      <c r="E909" s="98"/>
      <c r="F909" s="99"/>
      <c r="G909" s="100"/>
      <c r="H909" s="100"/>
    </row>
    <row r="910" customHeight="1" spans="2:8">
      <c r="B910" s="98"/>
      <c r="C910" s="98"/>
      <c r="D910" s="98"/>
      <c r="E910" s="98"/>
      <c r="F910" s="99"/>
      <c r="G910" s="100"/>
      <c r="H910" s="100"/>
    </row>
    <row r="911" customHeight="1" spans="2:8">
      <c r="B911" s="98"/>
      <c r="C911" s="98"/>
      <c r="D911" s="98"/>
      <c r="E911" s="98"/>
      <c r="F911" s="99"/>
      <c r="G911" s="100"/>
      <c r="H911" s="100"/>
    </row>
    <row r="912" customHeight="1" spans="2:8">
      <c r="B912" s="98"/>
      <c r="C912" s="98"/>
      <c r="D912" s="98"/>
      <c r="E912" s="98"/>
      <c r="F912" s="99"/>
      <c r="G912" s="100"/>
      <c r="H912" s="100"/>
    </row>
    <row r="913" customHeight="1" spans="2:8">
      <c r="B913" s="98"/>
      <c r="C913" s="98"/>
      <c r="D913" s="98"/>
      <c r="E913" s="98"/>
      <c r="F913" s="99"/>
      <c r="G913" s="100"/>
      <c r="H913" s="100"/>
    </row>
    <row r="914" customHeight="1" spans="2:8">
      <c r="B914" s="98"/>
      <c r="C914" s="98"/>
      <c r="D914" s="98"/>
      <c r="E914" s="98"/>
      <c r="F914" s="99"/>
      <c r="G914" s="100"/>
      <c r="H914" s="100"/>
    </row>
    <row r="915" customHeight="1" spans="2:8">
      <c r="B915" s="98"/>
      <c r="C915" s="98"/>
      <c r="D915" s="98"/>
      <c r="E915" s="98"/>
      <c r="F915" s="99"/>
      <c r="G915" s="100"/>
      <c r="H915" s="100"/>
    </row>
    <row r="916" customHeight="1" spans="2:8">
      <c r="B916" s="98"/>
      <c r="C916" s="98"/>
      <c r="D916" s="98"/>
      <c r="E916" s="98"/>
      <c r="F916" s="99"/>
      <c r="G916" s="100"/>
      <c r="H916" s="100"/>
    </row>
    <row r="917" customHeight="1" spans="2:8">
      <c r="B917" s="98"/>
      <c r="C917" s="98"/>
      <c r="D917" s="98"/>
      <c r="E917" s="98"/>
      <c r="F917" s="99"/>
      <c r="G917" s="100"/>
      <c r="H917" s="100"/>
    </row>
    <row r="918" customHeight="1" spans="2:8">
      <c r="B918" s="98"/>
      <c r="C918" s="98"/>
      <c r="D918" s="98"/>
      <c r="E918" s="98"/>
      <c r="F918" s="99"/>
      <c r="G918" s="100"/>
      <c r="H918" s="100"/>
    </row>
    <row r="919" customHeight="1" spans="2:8">
      <c r="B919" s="98"/>
      <c r="C919" s="98"/>
      <c r="D919" s="98"/>
      <c r="E919" s="98"/>
      <c r="F919" s="99"/>
      <c r="G919" s="100"/>
      <c r="H919" s="100"/>
    </row>
    <row r="920" customHeight="1" spans="2:8">
      <c r="B920" s="98"/>
      <c r="C920" s="98"/>
      <c r="D920" s="98"/>
      <c r="E920" s="98"/>
      <c r="F920" s="99"/>
      <c r="G920" s="100"/>
      <c r="H920" s="100"/>
    </row>
    <row r="921" customHeight="1" spans="2:8">
      <c r="B921" s="98"/>
      <c r="C921" s="98"/>
      <c r="D921" s="98"/>
      <c r="E921" s="98"/>
      <c r="F921" s="99"/>
      <c r="G921" s="100"/>
      <c r="H921" s="100"/>
    </row>
    <row r="922" customHeight="1" spans="2:8">
      <c r="B922" s="98"/>
      <c r="C922" s="98"/>
      <c r="D922" s="98"/>
      <c r="E922" s="98"/>
      <c r="F922" s="99"/>
      <c r="G922" s="100"/>
      <c r="H922" s="100"/>
    </row>
    <row r="923" customHeight="1" spans="2:8">
      <c r="B923" s="98"/>
      <c r="C923" s="98"/>
      <c r="D923" s="98"/>
      <c r="E923" s="98"/>
      <c r="F923" s="99"/>
      <c r="G923" s="100"/>
      <c r="H923" s="100"/>
    </row>
    <row r="924" customHeight="1" spans="2:8">
      <c r="B924" s="98"/>
      <c r="C924" s="98"/>
      <c r="D924" s="98"/>
      <c r="E924" s="98"/>
      <c r="F924" s="99"/>
      <c r="G924" s="100"/>
      <c r="H924" s="100"/>
    </row>
    <row r="925" customHeight="1" spans="2:8">
      <c r="B925" s="98"/>
      <c r="C925" s="98"/>
      <c r="D925" s="98"/>
      <c r="E925" s="98"/>
      <c r="F925" s="99"/>
      <c r="G925" s="100"/>
      <c r="H925" s="100"/>
    </row>
    <row r="926" customHeight="1" spans="2:8">
      <c r="B926" s="98"/>
      <c r="C926" s="98"/>
      <c r="D926" s="98"/>
      <c r="E926" s="98"/>
      <c r="F926" s="99"/>
      <c r="G926" s="100"/>
      <c r="H926" s="100"/>
    </row>
    <row r="927" customHeight="1" spans="2:8">
      <c r="B927" s="98"/>
      <c r="C927" s="98"/>
      <c r="D927" s="98"/>
      <c r="E927" s="98"/>
      <c r="F927" s="99"/>
      <c r="G927" s="100"/>
      <c r="H927" s="100"/>
    </row>
    <row r="928" customHeight="1" spans="2:8">
      <c r="B928" s="98"/>
      <c r="C928" s="98"/>
      <c r="D928" s="98"/>
      <c r="E928" s="98"/>
      <c r="F928" s="99"/>
      <c r="G928" s="100"/>
      <c r="H928" s="100"/>
    </row>
    <row r="929" customHeight="1" spans="2:8">
      <c r="B929" s="98"/>
      <c r="C929" s="98"/>
      <c r="D929" s="98"/>
      <c r="E929" s="98"/>
      <c r="F929" s="99"/>
      <c r="G929" s="100"/>
      <c r="H929" s="100"/>
    </row>
    <row r="930" customHeight="1" spans="2:8">
      <c r="B930" s="98"/>
      <c r="C930" s="98"/>
      <c r="D930" s="98"/>
      <c r="E930" s="98"/>
      <c r="F930" s="99"/>
      <c r="G930" s="100"/>
      <c r="H930" s="100"/>
    </row>
    <row r="931" customHeight="1" spans="2:8">
      <c r="B931" s="98"/>
      <c r="C931" s="98"/>
      <c r="D931" s="98"/>
      <c r="E931" s="98"/>
      <c r="F931" s="99"/>
      <c r="G931" s="100"/>
      <c r="H931" s="100"/>
    </row>
    <row r="932" customHeight="1" spans="2:8">
      <c r="B932" s="98"/>
      <c r="C932" s="98"/>
      <c r="D932" s="98"/>
      <c r="E932" s="98"/>
      <c r="F932" s="99"/>
      <c r="G932" s="100"/>
      <c r="H932" s="100"/>
    </row>
    <row r="933" customHeight="1" spans="2:8">
      <c r="B933" s="98"/>
      <c r="C933" s="98"/>
      <c r="D933" s="98"/>
      <c r="E933" s="98"/>
      <c r="F933" s="99"/>
      <c r="G933" s="100"/>
      <c r="H933" s="100"/>
    </row>
    <row r="934" customHeight="1" spans="2:8">
      <c r="B934" s="98"/>
      <c r="C934" s="98"/>
      <c r="D934" s="98"/>
      <c r="E934" s="98"/>
      <c r="F934" s="99"/>
      <c r="G934" s="100"/>
      <c r="H934" s="100"/>
    </row>
    <row r="935" customHeight="1" spans="2:8">
      <c r="B935" s="98"/>
      <c r="C935" s="98"/>
      <c r="D935" s="98"/>
      <c r="E935" s="98"/>
      <c r="F935" s="99"/>
      <c r="G935" s="100"/>
      <c r="H935" s="100"/>
    </row>
    <row r="936" customHeight="1" spans="2:8">
      <c r="B936" s="98"/>
      <c r="C936" s="98"/>
      <c r="D936" s="98"/>
      <c r="E936" s="98"/>
      <c r="F936" s="99"/>
      <c r="G936" s="100"/>
      <c r="H936" s="100"/>
    </row>
    <row r="937" customHeight="1" spans="2:8">
      <c r="B937" s="98"/>
      <c r="C937" s="98"/>
      <c r="D937" s="98"/>
      <c r="E937" s="98"/>
      <c r="F937" s="99"/>
      <c r="G937" s="100"/>
      <c r="H937" s="100"/>
    </row>
    <row r="938" customHeight="1" spans="2:8">
      <c r="B938" s="98"/>
      <c r="C938" s="98"/>
      <c r="D938" s="98"/>
      <c r="E938" s="98"/>
      <c r="F938" s="99"/>
      <c r="G938" s="100"/>
      <c r="H938" s="100"/>
    </row>
    <row r="939" customHeight="1" spans="2:8">
      <c r="B939" s="98"/>
      <c r="C939" s="98"/>
      <c r="D939" s="98"/>
      <c r="E939" s="98"/>
      <c r="F939" s="99"/>
      <c r="G939" s="100"/>
      <c r="H939" s="100"/>
    </row>
    <row r="940" customHeight="1" spans="2:8">
      <c r="B940" s="98"/>
      <c r="C940" s="98"/>
      <c r="D940" s="98"/>
      <c r="E940" s="98"/>
      <c r="F940" s="99"/>
      <c r="G940" s="100"/>
      <c r="H940" s="100"/>
    </row>
    <row r="941" customHeight="1" spans="2:8">
      <c r="B941" s="98"/>
      <c r="C941" s="98"/>
      <c r="D941" s="98"/>
      <c r="E941" s="98"/>
      <c r="F941" s="99"/>
      <c r="G941" s="100"/>
      <c r="H941" s="100"/>
    </row>
    <row r="942" customHeight="1" spans="2:8">
      <c r="B942" s="98"/>
      <c r="C942" s="98"/>
      <c r="D942" s="98"/>
      <c r="E942" s="98"/>
      <c r="F942" s="99"/>
      <c r="G942" s="100"/>
      <c r="H942" s="100"/>
    </row>
    <row r="943" customHeight="1" spans="2:8">
      <c r="B943" s="98"/>
      <c r="C943" s="98"/>
      <c r="D943" s="98"/>
      <c r="E943" s="98"/>
      <c r="F943" s="99"/>
      <c r="G943" s="100"/>
      <c r="H943" s="100"/>
    </row>
    <row r="944" customHeight="1" spans="2:8">
      <c r="B944" s="98"/>
      <c r="C944" s="98"/>
      <c r="D944" s="98"/>
      <c r="E944" s="98"/>
      <c r="F944" s="99"/>
      <c r="G944" s="100"/>
      <c r="H944" s="100"/>
    </row>
    <row r="945" customHeight="1" spans="2:8">
      <c r="B945" s="98"/>
      <c r="C945" s="98"/>
      <c r="D945" s="98"/>
      <c r="E945" s="98"/>
      <c r="F945" s="99"/>
      <c r="G945" s="100"/>
      <c r="H945" s="100"/>
    </row>
    <row r="946" customHeight="1" spans="2:8">
      <c r="B946" s="98"/>
      <c r="C946" s="98"/>
      <c r="D946" s="98"/>
      <c r="E946" s="98"/>
      <c r="F946" s="99"/>
      <c r="G946" s="100"/>
      <c r="H946" s="100"/>
    </row>
    <row r="947" customHeight="1" spans="2:8">
      <c r="B947" s="98"/>
      <c r="C947" s="98"/>
      <c r="D947" s="98"/>
      <c r="E947" s="98"/>
      <c r="F947" s="99"/>
      <c r="G947" s="100"/>
      <c r="H947" s="100"/>
    </row>
    <row r="948" customHeight="1" spans="2:8">
      <c r="B948" s="98"/>
      <c r="C948" s="98"/>
      <c r="D948" s="98"/>
      <c r="E948" s="98"/>
      <c r="F948" s="99"/>
      <c r="G948" s="100"/>
      <c r="H948" s="100"/>
    </row>
    <row r="949" customHeight="1" spans="2:8">
      <c r="B949" s="98"/>
      <c r="C949" s="98"/>
      <c r="D949" s="98"/>
      <c r="E949" s="98"/>
      <c r="F949" s="99"/>
      <c r="G949" s="100"/>
      <c r="H949" s="100"/>
    </row>
    <row r="950" customHeight="1" spans="2:8">
      <c r="B950" s="98"/>
      <c r="C950" s="98"/>
      <c r="D950" s="98"/>
      <c r="E950" s="98"/>
      <c r="F950" s="99"/>
      <c r="G950" s="100"/>
      <c r="H950" s="100"/>
    </row>
    <row r="951" customHeight="1" spans="2:8">
      <c r="B951" s="98"/>
      <c r="C951" s="98"/>
      <c r="D951" s="98"/>
      <c r="E951" s="98"/>
      <c r="F951" s="99"/>
      <c r="G951" s="100"/>
      <c r="H951" s="100"/>
    </row>
    <row r="952" customHeight="1" spans="2:8">
      <c r="B952" s="98"/>
      <c r="C952" s="98"/>
      <c r="D952" s="98"/>
      <c r="E952" s="98"/>
      <c r="F952" s="99"/>
      <c r="G952" s="100"/>
      <c r="H952" s="100"/>
    </row>
    <row r="953" customHeight="1" spans="2:8">
      <c r="B953" s="98"/>
      <c r="C953" s="98"/>
      <c r="D953" s="98"/>
      <c r="E953" s="98"/>
      <c r="F953" s="99"/>
      <c r="G953" s="100"/>
      <c r="H953" s="100"/>
    </row>
    <row r="954" customHeight="1" spans="2:8">
      <c r="B954" s="98"/>
      <c r="C954" s="98"/>
      <c r="D954" s="98"/>
      <c r="E954" s="98"/>
      <c r="F954" s="99"/>
      <c r="G954" s="100"/>
      <c r="H954" s="100"/>
    </row>
    <row r="955" customHeight="1" spans="2:8">
      <c r="B955" s="98"/>
      <c r="C955" s="98"/>
      <c r="D955" s="98"/>
      <c r="E955" s="98"/>
      <c r="F955" s="99"/>
      <c r="G955" s="100"/>
      <c r="H955" s="100"/>
    </row>
    <row r="956" customHeight="1" spans="2:8">
      <c r="B956" s="98"/>
      <c r="C956" s="98"/>
      <c r="D956" s="98"/>
      <c r="E956" s="98"/>
      <c r="F956" s="99"/>
      <c r="G956" s="100"/>
      <c r="H956" s="100"/>
    </row>
    <row r="957" customHeight="1" spans="2:8">
      <c r="B957" s="98"/>
      <c r="C957" s="98"/>
      <c r="D957" s="98"/>
      <c r="E957" s="98"/>
      <c r="F957" s="99"/>
      <c r="G957" s="100"/>
      <c r="H957" s="100"/>
    </row>
    <row r="958" customHeight="1" spans="2:8">
      <c r="B958" s="98"/>
      <c r="C958" s="98"/>
      <c r="D958" s="98"/>
      <c r="E958" s="98"/>
      <c r="F958" s="99"/>
      <c r="G958" s="100"/>
      <c r="H958" s="100"/>
    </row>
    <row r="959" customHeight="1" spans="2:8">
      <c r="B959" s="98"/>
      <c r="C959" s="98"/>
      <c r="D959" s="98"/>
      <c r="E959" s="98"/>
      <c r="F959" s="99"/>
      <c r="G959" s="100"/>
      <c r="H959" s="100"/>
    </row>
    <row r="960" customHeight="1" spans="2:8">
      <c r="B960" s="98"/>
      <c r="C960" s="98"/>
      <c r="D960" s="98"/>
      <c r="E960" s="98"/>
      <c r="F960" s="99"/>
      <c r="G960" s="100"/>
      <c r="H960" s="100"/>
    </row>
    <row r="961" customHeight="1" spans="2:8">
      <c r="B961" s="98"/>
      <c r="C961" s="98"/>
      <c r="D961" s="98"/>
      <c r="E961" s="98"/>
      <c r="F961" s="99"/>
      <c r="G961" s="100"/>
      <c r="H961" s="100"/>
    </row>
    <row r="962" customHeight="1" spans="2:8">
      <c r="B962" s="98"/>
      <c r="C962" s="98"/>
      <c r="D962" s="98"/>
      <c r="E962" s="98"/>
      <c r="F962" s="99"/>
      <c r="G962" s="100"/>
      <c r="H962" s="100"/>
    </row>
    <row r="963" customHeight="1" spans="2:8">
      <c r="B963" s="98"/>
      <c r="C963" s="98"/>
      <c r="D963" s="98"/>
      <c r="E963" s="98"/>
      <c r="F963" s="99"/>
      <c r="G963" s="100"/>
      <c r="H963" s="100"/>
    </row>
    <row r="964" customHeight="1" spans="2:8">
      <c r="B964" s="98"/>
      <c r="C964" s="98"/>
      <c r="D964" s="98"/>
      <c r="E964" s="98"/>
      <c r="F964" s="99"/>
      <c r="G964" s="100"/>
      <c r="H964" s="100"/>
    </row>
    <row r="965" customHeight="1" spans="2:8">
      <c r="B965" s="98"/>
      <c r="C965" s="98"/>
      <c r="D965" s="98"/>
      <c r="E965" s="98"/>
      <c r="F965" s="99"/>
      <c r="G965" s="100"/>
      <c r="H965" s="100"/>
    </row>
    <row r="966" customHeight="1" spans="2:8">
      <c r="B966" s="98"/>
      <c r="C966" s="98"/>
      <c r="D966" s="98"/>
      <c r="E966" s="98"/>
      <c r="F966" s="99"/>
      <c r="G966" s="100"/>
      <c r="H966" s="100"/>
    </row>
    <row r="967" customHeight="1" spans="2:8">
      <c r="B967" s="98"/>
      <c r="C967" s="98"/>
      <c r="D967" s="98"/>
      <c r="E967" s="98"/>
      <c r="F967" s="99"/>
      <c r="G967" s="100"/>
      <c r="H967" s="100"/>
    </row>
    <row r="968" customHeight="1" spans="2:8">
      <c r="B968" s="98"/>
      <c r="C968" s="98"/>
      <c r="D968" s="98"/>
      <c r="E968" s="98"/>
      <c r="F968" s="99"/>
      <c r="G968" s="100"/>
      <c r="H968" s="100"/>
    </row>
    <row r="969" customHeight="1" spans="2:8">
      <c r="B969" s="98"/>
      <c r="C969" s="98"/>
      <c r="D969" s="98"/>
      <c r="E969" s="98"/>
      <c r="F969" s="99"/>
      <c r="G969" s="100"/>
      <c r="H969" s="100"/>
    </row>
    <row r="970" customHeight="1" spans="2:8">
      <c r="B970" s="98"/>
      <c r="C970" s="98"/>
      <c r="D970" s="98"/>
      <c r="E970" s="98"/>
      <c r="F970" s="99"/>
      <c r="G970" s="100"/>
      <c r="H970" s="100"/>
    </row>
    <row r="971" customHeight="1" spans="2:8">
      <c r="B971" s="98"/>
      <c r="C971" s="98"/>
      <c r="D971" s="98"/>
      <c r="E971" s="98"/>
      <c r="F971" s="99"/>
      <c r="G971" s="100"/>
      <c r="H971" s="100"/>
    </row>
    <row r="972" customHeight="1" spans="2:8">
      <c r="B972" s="98"/>
      <c r="C972" s="98"/>
      <c r="D972" s="98"/>
      <c r="E972" s="98"/>
      <c r="F972" s="99"/>
      <c r="G972" s="100"/>
      <c r="H972" s="100"/>
    </row>
    <row r="973" customHeight="1" spans="2:8">
      <c r="B973" s="98"/>
      <c r="C973" s="98"/>
      <c r="D973" s="98"/>
      <c r="E973" s="98"/>
      <c r="F973" s="99"/>
      <c r="G973" s="100"/>
      <c r="H973" s="100"/>
    </row>
    <row r="974" customHeight="1" spans="2:8">
      <c r="B974" s="98"/>
      <c r="C974" s="98"/>
      <c r="D974" s="98"/>
      <c r="E974" s="98"/>
      <c r="F974" s="99"/>
      <c r="G974" s="100"/>
      <c r="H974" s="100"/>
    </row>
    <row r="975" customHeight="1" spans="2:8">
      <c r="B975" s="98"/>
      <c r="C975" s="98"/>
      <c r="D975" s="98"/>
      <c r="E975" s="98"/>
      <c r="F975" s="99"/>
      <c r="G975" s="100"/>
      <c r="H975" s="100"/>
    </row>
    <row r="976" customHeight="1" spans="2:8">
      <c r="B976" s="98"/>
      <c r="C976" s="98"/>
      <c r="D976" s="98"/>
      <c r="E976" s="98"/>
      <c r="F976" s="99"/>
      <c r="G976" s="100"/>
      <c r="H976" s="100"/>
    </row>
    <row r="977" customHeight="1" spans="2:8">
      <c r="B977" s="98"/>
      <c r="C977" s="98"/>
      <c r="D977" s="98"/>
      <c r="E977" s="98"/>
      <c r="F977" s="99"/>
      <c r="G977" s="100"/>
      <c r="H977" s="100"/>
    </row>
    <row r="978" customHeight="1" spans="2:8">
      <c r="B978" s="98"/>
      <c r="C978" s="98"/>
      <c r="D978" s="98"/>
      <c r="E978" s="98"/>
      <c r="F978" s="99"/>
      <c r="G978" s="100"/>
      <c r="H978" s="100"/>
    </row>
    <row r="979" customHeight="1" spans="2:8">
      <c r="B979" s="98"/>
      <c r="C979" s="98"/>
      <c r="D979" s="98"/>
      <c r="E979" s="98"/>
      <c r="F979" s="99"/>
      <c r="G979" s="100"/>
      <c r="H979" s="100"/>
    </row>
    <row r="980" customHeight="1" spans="2:8">
      <c r="B980" s="98"/>
      <c r="C980" s="98"/>
      <c r="D980" s="98"/>
      <c r="E980" s="98"/>
      <c r="F980" s="99"/>
      <c r="G980" s="100"/>
      <c r="H980" s="100"/>
    </row>
    <row r="981" customHeight="1" spans="2:8">
      <c r="B981" s="98"/>
      <c r="C981" s="98"/>
      <c r="D981" s="98"/>
      <c r="E981" s="98"/>
      <c r="F981" s="99"/>
      <c r="G981" s="100"/>
      <c r="H981" s="100"/>
    </row>
    <row r="982" customHeight="1" spans="2:8">
      <c r="B982" s="98"/>
      <c r="C982" s="98"/>
      <c r="D982" s="98"/>
      <c r="E982" s="98"/>
      <c r="F982" s="99"/>
      <c r="G982" s="100"/>
      <c r="H982" s="100"/>
    </row>
    <row r="983" customHeight="1" spans="2:8">
      <c r="B983" s="98"/>
      <c r="C983" s="98"/>
      <c r="D983" s="98"/>
      <c r="E983" s="98"/>
      <c r="F983" s="99"/>
      <c r="G983" s="100"/>
      <c r="H983" s="100"/>
    </row>
    <row r="984" customHeight="1" spans="2:8">
      <c r="B984" s="98"/>
      <c r="C984" s="98"/>
      <c r="D984" s="98"/>
      <c r="E984" s="98"/>
      <c r="F984" s="99"/>
      <c r="G984" s="100"/>
      <c r="H984" s="100"/>
    </row>
    <row r="985" customHeight="1" spans="2:8">
      <c r="B985" s="98"/>
      <c r="C985" s="98"/>
      <c r="D985" s="98"/>
      <c r="E985" s="98"/>
      <c r="F985" s="99"/>
      <c r="G985" s="100"/>
      <c r="H985" s="100"/>
    </row>
    <row r="986" customHeight="1" spans="2:8">
      <c r="B986" s="98"/>
      <c r="C986" s="98"/>
      <c r="D986" s="98"/>
      <c r="E986" s="98"/>
      <c r="F986" s="99"/>
      <c r="G986" s="100"/>
      <c r="H986" s="100"/>
    </row>
    <row r="987" customHeight="1" spans="2:8">
      <c r="B987" s="98"/>
      <c r="C987" s="98"/>
      <c r="D987" s="98"/>
      <c r="E987" s="98"/>
      <c r="F987" s="99"/>
      <c r="G987" s="100"/>
      <c r="H987" s="100"/>
    </row>
    <row r="988" customHeight="1" spans="2:8">
      <c r="B988" s="98"/>
      <c r="C988" s="98"/>
      <c r="D988" s="98"/>
      <c r="E988" s="98"/>
      <c r="F988" s="99"/>
      <c r="G988" s="100"/>
      <c r="H988" s="100"/>
    </row>
    <row r="989" customHeight="1" spans="2:8">
      <c r="B989" s="98"/>
      <c r="C989" s="98"/>
      <c r="D989" s="98"/>
      <c r="E989" s="98"/>
      <c r="F989" s="99"/>
      <c r="G989" s="100"/>
      <c r="H989" s="100"/>
    </row>
    <row r="990" customHeight="1" spans="2:8">
      <c r="B990" s="98"/>
      <c r="C990" s="98"/>
      <c r="D990" s="98"/>
      <c r="E990" s="98"/>
      <c r="F990" s="99"/>
      <c r="G990" s="100"/>
      <c r="H990" s="100"/>
    </row>
    <row r="991" customHeight="1" spans="2:8">
      <c r="B991" s="98"/>
      <c r="C991" s="98"/>
      <c r="D991" s="98"/>
      <c r="E991" s="98"/>
      <c r="F991" s="99"/>
      <c r="G991" s="100"/>
      <c r="H991" s="100"/>
    </row>
    <row r="992" customHeight="1" spans="2:8">
      <c r="B992" s="98"/>
      <c r="C992" s="98"/>
      <c r="D992" s="98"/>
      <c r="E992" s="98"/>
      <c r="F992" s="99"/>
      <c r="G992" s="100"/>
      <c r="H992" s="100"/>
    </row>
    <row r="993" customHeight="1" spans="2:8">
      <c r="B993" s="98"/>
      <c r="C993" s="98"/>
      <c r="D993" s="98"/>
      <c r="E993" s="98"/>
      <c r="F993" s="99"/>
      <c r="G993" s="100"/>
      <c r="H993" s="100"/>
    </row>
    <row r="994" customHeight="1" spans="2:8">
      <c r="B994" s="98"/>
      <c r="C994" s="98"/>
      <c r="D994" s="98"/>
      <c r="E994" s="98"/>
      <c r="F994" s="99"/>
      <c r="G994" s="100"/>
      <c r="H994" s="100"/>
    </row>
    <row r="995" customHeight="1" spans="2:8">
      <c r="B995" s="98"/>
      <c r="C995" s="98"/>
      <c r="D995" s="98"/>
      <c r="E995" s="98"/>
      <c r="F995" s="99"/>
      <c r="G995" s="100"/>
      <c r="H995" s="100"/>
    </row>
    <row r="996" customHeight="1" spans="2:8">
      <c r="B996" s="98"/>
      <c r="C996" s="98"/>
      <c r="D996" s="98"/>
      <c r="E996" s="98"/>
      <c r="F996" s="99"/>
      <c r="G996" s="100"/>
      <c r="H996" s="100"/>
    </row>
    <row r="997" customHeight="1" spans="2:8">
      <c r="B997" s="98"/>
      <c r="C997" s="98"/>
      <c r="D997" s="98"/>
      <c r="E997" s="98"/>
      <c r="F997" s="99"/>
      <c r="G997" s="100"/>
      <c r="H997" s="100"/>
    </row>
    <row r="998" customHeight="1" spans="2:8">
      <c r="B998" s="98"/>
      <c r="C998" s="98"/>
      <c r="D998" s="98"/>
      <c r="E998" s="98"/>
      <c r="F998" s="99"/>
      <c r="G998" s="100"/>
      <c r="H998" s="100"/>
    </row>
    <row r="999" customHeight="1" spans="2:8">
      <c r="B999" s="98"/>
      <c r="C999" s="98"/>
      <c r="D999" s="98"/>
      <c r="E999" s="98"/>
      <c r="F999" s="99"/>
      <c r="G999" s="100"/>
      <c r="H999" s="100"/>
    </row>
    <row r="1000" customHeight="1" spans="2:8">
      <c r="B1000" s="98"/>
      <c r="C1000" s="98"/>
      <c r="D1000" s="98"/>
      <c r="E1000" s="98"/>
      <c r="F1000" s="99"/>
      <c r="G1000" s="100"/>
      <c r="H1000" s="100"/>
    </row>
    <row r="1001" customHeight="1" spans="2:8">
      <c r="B1001" s="98"/>
      <c r="C1001" s="98"/>
      <c r="D1001" s="98"/>
      <c r="E1001" s="98"/>
      <c r="F1001" s="99"/>
      <c r="G1001" s="100"/>
      <c r="H1001" s="100"/>
    </row>
    <row r="1002" customHeight="1" spans="2:8">
      <c r="B1002" s="98"/>
      <c r="C1002" s="98"/>
      <c r="D1002" s="98"/>
      <c r="E1002" s="98"/>
      <c r="F1002" s="99"/>
      <c r="G1002" s="100"/>
      <c r="H1002" s="100"/>
    </row>
    <row r="1003" customHeight="1" spans="2:8">
      <c r="B1003" s="98"/>
      <c r="C1003" s="98"/>
      <c r="D1003" s="98"/>
      <c r="E1003" s="98"/>
      <c r="F1003" s="99"/>
      <c r="G1003" s="100"/>
      <c r="H1003" s="100"/>
    </row>
    <row r="1004" customHeight="1" spans="2:8">
      <c r="B1004" s="98"/>
      <c r="C1004" s="98"/>
      <c r="D1004" s="98"/>
      <c r="E1004" s="98"/>
      <c r="F1004" s="99"/>
      <c r="G1004" s="100"/>
      <c r="H1004" s="100"/>
    </row>
    <row r="1005" customHeight="1" spans="2:8">
      <c r="B1005" s="98"/>
      <c r="C1005" s="98"/>
      <c r="D1005" s="98"/>
      <c r="E1005" s="98"/>
      <c r="F1005" s="99"/>
      <c r="G1005" s="100"/>
      <c r="H1005" s="100"/>
    </row>
    <row r="1006" customHeight="1" spans="2:8">
      <c r="B1006" s="98"/>
      <c r="C1006" s="98"/>
      <c r="D1006" s="98"/>
      <c r="E1006" s="98"/>
      <c r="F1006" s="99"/>
      <c r="G1006" s="100"/>
      <c r="H1006" s="100"/>
    </row>
    <row r="1007" customHeight="1" spans="2:8">
      <c r="B1007" s="98"/>
      <c r="C1007" s="98"/>
      <c r="D1007" s="98"/>
      <c r="E1007" s="98"/>
      <c r="F1007" s="99"/>
      <c r="G1007" s="100"/>
      <c r="H1007" s="100"/>
    </row>
    <row r="1008" customHeight="1" spans="2:8">
      <c r="B1008" s="98"/>
      <c r="C1008" s="98"/>
      <c r="D1008" s="98"/>
      <c r="E1008" s="98"/>
      <c r="F1008" s="99"/>
      <c r="G1008" s="100"/>
      <c r="H1008" s="100"/>
    </row>
    <row r="1009" customHeight="1" spans="2:8">
      <c r="B1009" s="98"/>
      <c r="C1009" s="98"/>
      <c r="D1009" s="98"/>
      <c r="E1009" s="98"/>
      <c r="F1009" s="99"/>
      <c r="G1009" s="100"/>
      <c r="H1009" s="100"/>
    </row>
    <row r="1010" customHeight="1" spans="2:8">
      <c r="B1010" s="98"/>
      <c r="C1010" s="98"/>
      <c r="D1010" s="98"/>
      <c r="E1010" s="98"/>
      <c r="F1010" s="99"/>
      <c r="G1010" s="100"/>
      <c r="H1010" s="100"/>
    </row>
    <row r="1011" customHeight="1" spans="2:8">
      <c r="B1011" s="98"/>
      <c r="C1011" s="98"/>
      <c r="D1011" s="98"/>
      <c r="E1011" s="98"/>
      <c r="F1011" s="99"/>
      <c r="G1011" s="100"/>
      <c r="H1011" s="100"/>
    </row>
    <row r="1012" customHeight="1" spans="2:8">
      <c r="B1012" s="98"/>
      <c r="C1012" s="98"/>
      <c r="D1012" s="98"/>
      <c r="E1012" s="98"/>
      <c r="F1012" s="99"/>
      <c r="G1012" s="100"/>
      <c r="H1012" s="100"/>
    </row>
    <row r="1013" customHeight="1" spans="2:8">
      <c r="B1013" s="98"/>
      <c r="C1013" s="98"/>
      <c r="D1013" s="98"/>
      <c r="E1013" s="98"/>
      <c r="F1013" s="99"/>
      <c r="G1013" s="100"/>
      <c r="H1013" s="100"/>
    </row>
    <row r="1014" customHeight="1" spans="2:8">
      <c r="B1014" s="98"/>
      <c r="C1014" s="98"/>
      <c r="D1014" s="98"/>
      <c r="E1014" s="98"/>
      <c r="F1014" s="99"/>
      <c r="G1014" s="100"/>
      <c r="H1014" s="100"/>
    </row>
    <row r="1015" customHeight="1" spans="2:8">
      <c r="B1015" s="98"/>
      <c r="C1015" s="98"/>
      <c r="D1015" s="98"/>
      <c r="E1015" s="98"/>
      <c r="F1015" s="99"/>
      <c r="G1015" s="100"/>
      <c r="H1015" s="100"/>
    </row>
    <row r="1016" customHeight="1" spans="2:8">
      <c r="B1016" s="98"/>
      <c r="C1016" s="98"/>
      <c r="D1016" s="98"/>
      <c r="E1016" s="98"/>
      <c r="F1016" s="99"/>
      <c r="G1016" s="100"/>
      <c r="H1016" s="100"/>
    </row>
    <row r="1017" customHeight="1" spans="2:8">
      <c r="B1017" s="98"/>
      <c r="C1017" s="98"/>
      <c r="D1017" s="98"/>
      <c r="E1017" s="98"/>
      <c r="F1017" s="99"/>
      <c r="G1017" s="100"/>
      <c r="H1017" s="100"/>
    </row>
    <row r="1018" customHeight="1" spans="2:8">
      <c r="B1018" s="98"/>
      <c r="C1018" s="98"/>
      <c r="D1018" s="98"/>
      <c r="E1018" s="98"/>
      <c r="F1018" s="99"/>
      <c r="G1018" s="100"/>
      <c r="H1018" s="100"/>
    </row>
    <row r="1019" customHeight="1" spans="2:8">
      <c r="B1019" s="98"/>
      <c r="C1019" s="98"/>
      <c r="D1019" s="98"/>
      <c r="E1019" s="98"/>
      <c r="F1019" s="99"/>
      <c r="G1019" s="100"/>
      <c r="H1019" s="100"/>
    </row>
    <row r="1020" customHeight="1" spans="2:8">
      <c r="B1020" s="98"/>
      <c r="C1020" s="98"/>
      <c r="D1020" s="98"/>
      <c r="E1020" s="98"/>
      <c r="F1020" s="99"/>
      <c r="G1020" s="100"/>
      <c r="H1020" s="100"/>
    </row>
    <row r="1021" customHeight="1" spans="2:8">
      <c r="B1021" s="98"/>
      <c r="C1021" s="98"/>
      <c r="D1021" s="98"/>
      <c r="E1021" s="98"/>
      <c r="F1021" s="99"/>
      <c r="G1021" s="100"/>
      <c r="H1021" s="100"/>
    </row>
    <row r="1022" customHeight="1" spans="2:8">
      <c r="B1022" s="98"/>
      <c r="C1022" s="98"/>
      <c r="D1022" s="98"/>
      <c r="E1022" s="98"/>
      <c r="F1022" s="99"/>
      <c r="G1022" s="100"/>
      <c r="H1022" s="100"/>
    </row>
    <row r="1023" customHeight="1" spans="2:8">
      <c r="B1023" s="98"/>
      <c r="C1023" s="98"/>
      <c r="D1023" s="98"/>
      <c r="E1023" s="98"/>
      <c r="F1023" s="99"/>
      <c r="G1023" s="100"/>
      <c r="H1023" s="100"/>
    </row>
    <row r="1024" customHeight="1" spans="2:8">
      <c r="B1024" s="98"/>
      <c r="C1024" s="98"/>
      <c r="D1024" s="98"/>
      <c r="E1024" s="98"/>
      <c r="F1024" s="99"/>
      <c r="G1024" s="100"/>
      <c r="H1024" s="100"/>
    </row>
    <row r="1025" customHeight="1" spans="2:8">
      <c r="B1025" s="98"/>
      <c r="C1025" s="98"/>
      <c r="D1025" s="98"/>
      <c r="E1025" s="98"/>
      <c r="F1025" s="99"/>
      <c r="G1025" s="100"/>
      <c r="H1025" s="100"/>
    </row>
    <row r="1026" customHeight="1" spans="2:8">
      <c r="B1026" s="98"/>
      <c r="C1026" s="98"/>
      <c r="D1026" s="98"/>
      <c r="E1026" s="98"/>
      <c r="F1026" s="99"/>
      <c r="G1026" s="100"/>
      <c r="H1026" s="100"/>
    </row>
    <row r="1027" customHeight="1" spans="2:8">
      <c r="B1027" s="98"/>
      <c r="C1027" s="98"/>
      <c r="D1027" s="98"/>
      <c r="E1027" s="98"/>
      <c r="F1027" s="99"/>
      <c r="G1027" s="100"/>
      <c r="H1027" s="100"/>
    </row>
    <row r="1028" customHeight="1" spans="2:8">
      <c r="B1028" s="98"/>
      <c r="C1028" s="98"/>
      <c r="D1028" s="98"/>
      <c r="E1028" s="98"/>
      <c r="F1028" s="99"/>
      <c r="G1028" s="100"/>
      <c r="H1028" s="100"/>
    </row>
    <row r="1029" customHeight="1" spans="2:8">
      <c r="B1029" s="98"/>
      <c r="C1029" s="98"/>
      <c r="D1029" s="98"/>
      <c r="E1029" s="98"/>
      <c r="F1029" s="99"/>
      <c r="G1029" s="100"/>
      <c r="H1029" s="100"/>
    </row>
    <row r="1030" customHeight="1" spans="2:8">
      <c r="B1030" s="98"/>
      <c r="C1030" s="98"/>
      <c r="D1030" s="98"/>
      <c r="E1030" s="98"/>
      <c r="F1030" s="99"/>
      <c r="G1030" s="100"/>
      <c r="H1030" s="100"/>
    </row>
    <row r="1031" customHeight="1" spans="2:8">
      <c r="B1031" s="98"/>
      <c r="C1031" s="98"/>
      <c r="D1031" s="98"/>
      <c r="E1031" s="98"/>
      <c r="F1031" s="99"/>
      <c r="G1031" s="100"/>
      <c r="H1031" s="100"/>
    </row>
    <row r="1032" customHeight="1" spans="2:8">
      <c r="B1032" s="98"/>
      <c r="C1032" s="98"/>
      <c r="D1032" s="98"/>
      <c r="E1032" s="98"/>
      <c r="F1032" s="99"/>
      <c r="G1032" s="100"/>
      <c r="H1032" s="100"/>
    </row>
    <row r="1033" customHeight="1" spans="2:8">
      <c r="B1033" s="98"/>
      <c r="C1033" s="98"/>
      <c r="D1033" s="98"/>
      <c r="E1033" s="98"/>
      <c r="F1033" s="99"/>
      <c r="G1033" s="100"/>
      <c r="H1033" s="100"/>
    </row>
    <row r="1034" customHeight="1" spans="2:8">
      <c r="B1034" s="98"/>
      <c r="C1034" s="98"/>
      <c r="D1034" s="98"/>
      <c r="E1034" s="98"/>
      <c r="F1034" s="99"/>
      <c r="G1034" s="100"/>
      <c r="H1034" s="100"/>
    </row>
    <row r="1035" customHeight="1" spans="2:8">
      <c r="B1035" s="98"/>
      <c r="C1035" s="98"/>
      <c r="D1035" s="98"/>
      <c r="E1035" s="98"/>
      <c r="F1035" s="99"/>
      <c r="G1035" s="100"/>
      <c r="H1035" s="100"/>
    </row>
    <row r="1036" customHeight="1" spans="2:8">
      <c r="B1036" s="98"/>
      <c r="C1036" s="98"/>
      <c r="D1036" s="98"/>
      <c r="E1036" s="98"/>
      <c r="F1036" s="99"/>
      <c r="G1036" s="100"/>
      <c r="H1036" s="100"/>
    </row>
    <row r="1037" customHeight="1" spans="2:8">
      <c r="B1037" s="98"/>
      <c r="C1037" s="98"/>
      <c r="D1037" s="98"/>
      <c r="E1037" s="98"/>
      <c r="F1037" s="99"/>
      <c r="G1037" s="100"/>
      <c r="H1037" s="100"/>
    </row>
    <row r="1038" customHeight="1" spans="2:8">
      <c r="B1038" s="98"/>
      <c r="C1038" s="98"/>
      <c r="D1038" s="98"/>
      <c r="E1038" s="98"/>
      <c r="F1038" s="99"/>
      <c r="G1038" s="100"/>
      <c r="H1038" s="100"/>
    </row>
    <row r="1039" customHeight="1" spans="2:8">
      <c r="B1039" s="98"/>
      <c r="C1039" s="98"/>
      <c r="D1039" s="98"/>
      <c r="E1039" s="98"/>
      <c r="F1039" s="99"/>
      <c r="G1039" s="100"/>
      <c r="H1039" s="100"/>
    </row>
    <row r="1040" customHeight="1" spans="2:8">
      <c r="B1040" s="98"/>
      <c r="C1040" s="98"/>
      <c r="D1040" s="98"/>
      <c r="E1040" s="98"/>
      <c r="F1040" s="99"/>
      <c r="G1040" s="100"/>
      <c r="H1040" s="100"/>
    </row>
    <row r="1041" customHeight="1" spans="2:8">
      <c r="B1041" s="98"/>
      <c r="C1041" s="98"/>
      <c r="D1041" s="98"/>
      <c r="E1041" s="98"/>
      <c r="F1041" s="99"/>
      <c r="G1041" s="100"/>
      <c r="H1041" s="100"/>
    </row>
    <row r="1042" customHeight="1" spans="2:8">
      <c r="B1042" s="98"/>
      <c r="C1042" s="98"/>
      <c r="D1042" s="98"/>
      <c r="E1042" s="98"/>
      <c r="F1042" s="99"/>
      <c r="G1042" s="100"/>
      <c r="H1042" s="100"/>
    </row>
    <row r="1043" customHeight="1" spans="2:8">
      <c r="B1043" s="98"/>
      <c r="C1043" s="98"/>
      <c r="D1043" s="98"/>
      <c r="E1043" s="98"/>
      <c r="F1043" s="99"/>
      <c r="G1043" s="100"/>
      <c r="H1043" s="100"/>
    </row>
    <row r="1044" customHeight="1" spans="2:8">
      <c r="B1044" s="98"/>
      <c r="C1044" s="98"/>
      <c r="D1044" s="98"/>
      <c r="E1044" s="98"/>
      <c r="F1044" s="99"/>
      <c r="G1044" s="100"/>
      <c r="H1044" s="100"/>
    </row>
    <row r="1045" customHeight="1" spans="2:8">
      <c r="B1045" s="98"/>
      <c r="C1045" s="98"/>
      <c r="D1045" s="98"/>
      <c r="E1045" s="98"/>
      <c r="F1045" s="99"/>
      <c r="G1045" s="100"/>
      <c r="H1045" s="100"/>
    </row>
    <row r="1046" customHeight="1" spans="2:8">
      <c r="B1046" s="98"/>
      <c r="C1046" s="98"/>
      <c r="D1046" s="98"/>
      <c r="E1046" s="98"/>
      <c r="F1046" s="99"/>
      <c r="G1046" s="100"/>
      <c r="H1046" s="100"/>
    </row>
    <row r="1047" customHeight="1" spans="2:8">
      <c r="B1047" s="98"/>
      <c r="C1047" s="98"/>
      <c r="D1047" s="98"/>
      <c r="E1047" s="98"/>
      <c r="F1047" s="99"/>
      <c r="G1047" s="100"/>
      <c r="H1047" s="100"/>
    </row>
    <row r="1048" customHeight="1" spans="2:8">
      <c r="B1048" s="98"/>
      <c r="C1048" s="98"/>
      <c r="D1048" s="98"/>
      <c r="E1048" s="98"/>
      <c r="F1048" s="99"/>
      <c r="G1048" s="100"/>
      <c r="H1048" s="100"/>
    </row>
    <row r="1049" customHeight="1" spans="2:8">
      <c r="B1049" s="98"/>
      <c r="C1049" s="98"/>
      <c r="D1049" s="98"/>
      <c r="E1049" s="98"/>
      <c r="F1049" s="99"/>
      <c r="G1049" s="100"/>
      <c r="H1049" s="100"/>
    </row>
    <row r="1050" customHeight="1" spans="2:8">
      <c r="B1050" s="98"/>
      <c r="C1050" s="98"/>
      <c r="D1050" s="98"/>
      <c r="E1050" s="98"/>
      <c r="F1050" s="99"/>
      <c r="G1050" s="100"/>
      <c r="H1050" s="100"/>
    </row>
    <row r="1051" customHeight="1" spans="2:8">
      <c r="B1051" s="98"/>
      <c r="C1051" s="98"/>
      <c r="D1051" s="98"/>
      <c r="E1051" s="98"/>
      <c r="F1051" s="99"/>
      <c r="G1051" s="100"/>
      <c r="H1051" s="100"/>
    </row>
    <row r="1052" customHeight="1" spans="2:8">
      <c r="B1052" s="98"/>
      <c r="C1052" s="98"/>
      <c r="D1052" s="98"/>
      <c r="E1052" s="98"/>
      <c r="F1052" s="99"/>
      <c r="G1052" s="100"/>
      <c r="H1052" s="100"/>
    </row>
    <row r="1053" customHeight="1" spans="2:8">
      <c r="B1053" s="98"/>
      <c r="C1053" s="98"/>
      <c r="D1053" s="98"/>
      <c r="E1053" s="98"/>
      <c r="F1053" s="99"/>
      <c r="G1053" s="100"/>
      <c r="H1053" s="100"/>
    </row>
    <row r="1054" customHeight="1" spans="2:8">
      <c r="B1054" s="98"/>
      <c r="C1054" s="98"/>
      <c r="D1054" s="98"/>
      <c r="E1054" s="98"/>
      <c r="F1054" s="99"/>
      <c r="G1054" s="100"/>
      <c r="H1054" s="100"/>
    </row>
    <row r="1055" customHeight="1" spans="2:8">
      <c r="B1055" s="98"/>
      <c r="C1055" s="98"/>
      <c r="D1055" s="98"/>
      <c r="E1055" s="98"/>
      <c r="F1055" s="99"/>
      <c r="G1055" s="100"/>
      <c r="H1055" s="100"/>
    </row>
    <row r="1056" customHeight="1" spans="2:8">
      <c r="B1056" s="98"/>
      <c r="C1056" s="98"/>
      <c r="D1056" s="98"/>
      <c r="E1056" s="98"/>
      <c r="F1056" s="99"/>
      <c r="G1056" s="100"/>
      <c r="H1056" s="100"/>
    </row>
    <row r="1057" customHeight="1" spans="2:8">
      <c r="B1057" s="98"/>
      <c r="C1057" s="98"/>
      <c r="D1057" s="98"/>
      <c r="E1057" s="98"/>
      <c r="F1057" s="99"/>
      <c r="G1057" s="100"/>
      <c r="H1057" s="100"/>
    </row>
    <row r="1058" customHeight="1" spans="2:8">
      <c r="B1058" s="98"/>
      <c r="C1058" s="98"/>
      <c r="D1058" s="98"/>
      <c r="E1058" s="98"/>
      <c r="F1058" s="99"/>
      <c r="G1058" s="100"/>
      <c r="H1058" s="100"/>
    </row>
    <row r="1059" customHeight="1" spans="2:8">
      <c r="B1059" s="98"/>
      <c r="C1059" s="98"/>
      <c r="D1059" s="98"/>
      <c r="E1059" s="98"/>
      <c r="F1059" s="99"/>
      <c r="G1059" s="100"/>
      <c r="H1059" s="100"/>
    </row>
    <row r="1060" customHeight="1" spans="2:8">
      <c r="B1060" s="98"/>
      <c r="C1060" s="98"/>
      <c r="D1060" s="98"/>
      <c r="E1060" s="98"/>
      <c r="F1060" s="99"/>
      <c r="G1060" s="100"/>
      <c r="H1060" s="100"/>
    </row>
    <row r="1061" customHeight="1" spans="2:8">
      <c r="B1061" s="98"/>
      <c r="C1061" s="98"/>
      <c r="D1061" s="98"/>
      <c r="E1061" s="98"/>
      <c r="F1061" s="99"/>
      <c r="G1061" s="100"/>
      <c r="H1061" s="100"/>
    </row>
    <row r="1062" customHeight="1" spans="2:8">
      <c r="B1062" s="98"/>
      <c r="C1062" s="98"/>
      <c r="D1062" s="98"/>
      <c r="E1062" s="98"/>
      <c r="F1062" s="99"/>
      <c r="G1062" s="100"/>
      <c r="H1062" s="100"/>
    </row>
    <row r="1063" customHeight="1" spans="2:8">
      <c r="B1063" s="98"/>
      <c r="C1063" s="98"/>
      <c r="D1063" s="98"/>
      <c r="E1063" s="98"/>
      <c r="F1063" s="99"/>
      <c r="G1063" s="100"/>
      <c r="H1063" s="100"/>
    </row>
    <row r="1064" customHeight="1" spans="2:8">
      <c r="B1064" s="98"/>
      <c r="C1064" s="98"/>
      <c r="D1064" s="98"/>
      <c r="E1064" s="98"/>
      <c r="F1064" s="99"/>
      <c r="G1064" s="100"/>
      <c r="H1064" s="100"/>
    </row>
    <row r="1065" customHeight="1" spans="2:8">
      <c r="B1065" s="98"/>
      <c r="C1065" s="98"/>
      <c r="D1065" s="98"/>
      <c r="E1065" s="98"/>
      <c r="F1065" s="99"/>
      <c r="G1065" s="100"/>
      <c r="H1065" s="100"/>
    </row>
    <row r="1066" customHeight="1" spans="2:8">
      <c r="B1066" s="98"/>
      <c r="C1066" s="98"/>
      <c r="D1066" s="98"/>
      <c r="E1066" s="98"/>
      <c r="F1066" s="99"/>
      <c r="G1066" s="100"/>
      <c r="H1066" s="100"/>
    </row>
    <row r="1067" customHeight="1" spans="2:8">
      <c r="B1067" s="98"/>
      <c r="C1067" s="98"/>
      <c r="D1067" s="98"/>
      <c r="E1067" s="98"/>
      <c r="F1067" s="99"/>
      <c r="G1067" s="100"/>
      <c r="H1067" s="100"/>
    </row>
    <row r="1068" customHeight="1" spans="2:8">
      <c r="B1068" s="98"/>
      <c r="C1068" s="98"/>
      <c r="D1068" s="98"/>
      <c r="E1068" s="98"/>
      <c r="F1068" s="99"/>
      <c r="G1068" s="100"/>
      <c r="H1068" s="100"/>
    </row>
    <row r="1069" customHeight="1" spans="2:8">
      <c r="B1069" s="98"/>
      <c r="C1069" s="98"/>
      <c r="D1069" s="98"/>
      <c r="E1069" s="98"/>
      <c r="F1069" s="99"/>
      <c r="G1069" s="100"/>
      <c r="H1069" s="100"/>
    </row>
    <row r="1070" customHeight="1" spans="2:8">
      <c r="B1070" s="98"/>
      <c r="C1070" s="98"/>
      <c r="D1070" s="98"/>
      <c r="E1070" s="98"/>
      <c r="F1070" s="99"/>
      <c r="G1070" s="100"/>
      <c r="H1070" s="100"/>
    </row>
    <row r="1071" customHeight="1" spans="2:8">
      <c r="B1071" s="98"/>
      <c r="C1071" s="98"/>
      <c r="D1071" s="98"/>
      <c r="E1071" s="98"/>
      <c r="F1071" s="99"/>
      <c r="G1071" s="100"/>
      <c r="H1071" s="100"/>
    </row>
    <row r="1072" customHeight="1" spans="2:8">
      <c r="B1072" s="98"/>
      <c r="C1072" s="98"/>
      <c r="D1072" s="98"/>
      <c r="E1072" s="98"/>
      <c r="F1072" s="99"/>
      <c r="G1072" s="100"/>
      <c r="H1072" s="100"/>
    </row>
    <row r="1073" customHeight="1" spans="2:8">
      <c r="B1073" s="98"/>
      <c r="C1073" s="98"/>
      <c r="D1073" s="98"/>
      <c r="E1073" s="98"/>
      <c r="F1073" s="99"/>
      <c r="G1073" s="100"/>
      <c r="H1073" s="100"/>
    </row>
    <row r="1074" customHeight="1" spans="2:8">
      <c r="B1074" s="98"/>
      <c r="C1074" s="98"/>
      <c r="D1074" s="98"/>
      <c r="E1074" s="98"/>
      <c r="F1074" s="99"/>
      <c r="G1074" s="100"/>
      <c r="H1074" s="100"/>
    </row>
    <row r="1075" customHeight="1" spans="2:8">
      <c r="B1075" s="98"/>
      <c r="C1075" s="98"/>
      <c r="D1075" s="98"/>
      <c r="E1075" s="98"/>
      <c r="F1075" s="99"/>
      <c r="G1075" s="100"/>
      <c r="H1075" s="100"/>
    </row>
    <row r="1076" customHeight="1" spans="2:8">
      <c r="B1076" s="98"/>
      <c r="C1076" s="98"/>
      <c r="D1076" s="98"/>
      <c r="E1076" s="98"/>
      <c r="F1076" s="99"/>
      <c r="G1076" s="100"/>
      <c r="H1076" s="100"/>
    </row>
    <row r="1077" customHeight="1" spans="2:8">
      <c r="B1077" s="98"/>
      <c r="C1077" s="98"/>
      <c r="D1077" s="98"/>
      <c r="E1077" s="98"/>
      <c r="F1077" s="99"/>
      <c r="G1077" s="100"/>
      <c r="H1077" s="100"/>
    </row>
    <row r="1078" customHeight="1" spans="2:8">
      <c r="B1078" s="98"/>
      <c r="C1078" s="98"/>
      <c r="D1078" s="98"/>
      <c r="E1078" s="98"/>
      <c r="F1078" s="99"/>
      <c r="G1078" s="100"/>
      <c r="H1078" s="100"/>
    </row>
    <row r="1079" customHeight="1" spans="2:8">
      <c r="B1079" s="98"/>
      <c r="C1079" s="98"/>
      <c r="D1079" s="98"/>
      <c r="E1079" s="98"/>
      <c r="F1079" s="99"/>
      <c r="G1079" s="100"/>
      <c r="H1079" s="100"/>
    </row>
    <row r="1080" customHeight="1" spans="2:8">
      <c r="B1080" s="98"/>
      <c r="C1080" s="98"/>
      <c r="D1080" s="98"/>
      <c r="E1080" s="98"/>
      <c r="F1080" s="99"/>
      <c r="G1080" s="100"/>
      <c r="H1080" s="100"/>
    </row>
    <row r="1081" customHeight="1" spans="2:8">
      <c r="B1081" s="98"/>
      <c r="C1081" s="98"/>
      <c r="D1081" s="98"/>
      <c r="E1081" s="98"/>
      <c r="F1081" s="99"/>
      <c r="G1081" s="100"/>
      <c r="H1081" s="100"/>
    </row>
    <row r="1082" customHeight="1" spans="2:8">
      <c r="B1082" s="98"/>
      <c r="C1082" s="98"/>
      <c r="D1082" s="98"/>
      <c r="E1082" s="98"/>
      <c r="F1082" s="99"/>
      <c r="G1082" s="100"/>
      <c r="H1082" s="100"/>
    </row>
    <row r="1083" customHeight="1" spans="2:8">
      <c r="B1083" s="98"/>
      <c r="C1083" s="98"/>
      <c r="D1083" s="98"/>
      <c r="E1083" s="98"/>
      <c r="F1083" s="99"/>
      <c r="G1083" s="100"/>
      <c r="H1083" s="100"/>
    </row>
    <row r="1084" customHeight="1" spans="2:8">
      <c r="B1084" s="98"/>
      <c r="C1084" s="98"/>
      <c r="D1084" s="98"/>
      <c r="E1084" s="98"/>
      <c r="F1084" s="99"/>
      <c r="G1084" s="100"/>
      <c r="H1084" s="100"/>
    </row>
    <row r="1085" customHeight="1" spans="2:8">
      <c r="B1085" s="98"/>
      <c r="C1085" s="98"/>
      <c r="D1085" s="98"/>
      <c r="E1085" s="98"/>
      <c r="F1085" s="99"/>
      <c r="G1085" s="100"/>
      <c r="H1085" s="100"/>
    </row>
    <row r="1086" customHeight="1" spans="2:8">
      <c r="B1086" s="98"/>
      <c r="C1086" s="98"/>
      <c r="D1086" s="98"/>
      <c r="E1086" s="98"/>
      <c r="F1086" s="99"/>
      <c r="G1086" s="100"/>
      <c r="H1086" s="100"/>
    </row>
    <row r="1087" customHeight="1" spans="2:8">
      <c r="B1087" s="98"/>
      <c r="C1087" s="98"/>
      <c r="D1087" s="98"/>
      <c r="E1087" s="98"/>
      <c r="F1087" s="99"/>
      <c r="G1087" s="100"/>
      <c r="H1087" s="100"/>
    </row>
    <row r="1088" customHeight="1" spans="2:8">
      <c r="B1088" s="98"/>
      <c r="C1088" s="98"/>
      <c r="D1088" s="98"/>
      <c r="E1088" s="98"/>
      <c r="F1088" s="99"/>
      <c r="G1088" s="100"/>
      <c r="H1088" s="100"/>
    </row>
    <row r="1089" customHeight="1" spans="2:8">
      <c r="B1089" s="98"/>
      <c r="C1089" s="98"/>
      <c r="D1089" s="98"/>
      <c r="E1089" s="98"/>
      <c r="F1089" s="99"/>
      <c r="G1089" s="100"/>
      <c r="H1089" s="100"/>
    </row>
    <row r="1090" customHeight="1" spans="2:8">
      <c r="B1090" s="98"/>
      <c r="C1090" s="98"/>
      <c r="D1090" s="98"/>
      <c r="E1090" s="98"/>
      <c r="F1090" s="99"/>
      <c r="G1090" s="100"/>
      <c r="H1090" s="100"/>
    </row>
    <row r="1091" customHeight="1" spans="2:8">
      <c r="B1091" s="98"/>
      <c r="C1091" s="98"/>
      <c r="D1091" s="98"/>
      <c r="E1091" s="98"/>
      <c r="F1091" s="99"/>
      <c r="G1091" s="100"/>
      <c r="H1091" s="100"/>
    </row>
    <row r="1092" customHeight="1" spans="2:8">
      <c r="B1092" s="98"/>
      <c r="C1092" s="98"/>
      <c r="D1092" s="98"/>
      <c r="E1092" s="98"/>
      <c r="F1092" s="99"/>
      <c r="G1092" s="100"/>
      <c r="H1092" s="100"/>
    </row>
    <row r="1093" customHeight="1" spans="2:8">
      <c r="B1093" s="98"/>
      <c r="C1093" s="98"/>
      <c r="D1093" s="98"/>
      <c r="E1093" s="98"/>
      <c r="F1093" s="99"/>
      <c r="G1093" s="100"/>
      <c r="H1093" s="100"/>
    </row>
    <row r="1094" customHeight="1" spans="2:8">
      <c r="B1094" s="98"/>
      <c r="C1094" s="98"/>
      <c r="D1094" s="98"/>
      <c r="E1094" s="98"/>
      <c r="F1094" s="99"/>
      <c r="G1094" s="100"/>
      <c r="H1094" s="100"/>
    </row>
    <row r="1095" customHeight="1" spans="2:8">
      <c r="B1095" s="98"/>
      <c r="C1095" s="98"/>
      <c r="D1095" s="98"/>
      <c r="E1095" s="98"/>
      <c r="F1095" s="99"/>
      <c r="G1095" s="100"/>
      <c r="H1095" s="100"/>
    </row>
    <row r="1096" customHeight="1" spans="2:8">
      <c r="B1096" s="98"/>
      <c r="C1096" s="98"/>
      <c r="D1096" s="98"/>
      <c r="E1096" s="98"/>
      <c r="F1096" s="99"/>
      <c r="G1096" s="100"/>
      <c r="H1096" s="100"/>
    </row>
    <row r="1097" customHeight="1" spans="2:8">
      <c r="B1097" s="98"/>
      <c r="C1097" s="98"/>
      <c r="D1097" s="98"/>
      <c r="E1097" s="98"/>
      <c r="F1097" s="99"/>
      <c r="G1097" s="100"/>
      <c r="H1097" s="100"/>
    </row>
    <row r="1098" customHeight="1" spans="2:8">
      <c r="B1098" s="98"/>
      <c r="C1098" s="98"/>
      <c r="D1098" s="98"/>
      <c r="E1098" s="98"/>
      <c r="F1098" s="99"/>
      <c r="G1098" s="100"/>
      <c r="H1098" s="100"/>
    </row>
    <row r="1099" customHeight="1" spans="2:8">
      <c r="B1099" s="98"/>
      <c r="C1099" s="98"/>
      <c r="D1099" s="98"/>
      <c r="E1099" s="98"/>
      <c r="F1099" s="99"/>
      <c r="G1099" s="100"/>
      <c r="H1099" s="100"/>
    </row>
    <row r="1100" customHeight="1" spans="2:8">
      <c r="B1100" s="98"/>
      <c r="C1100" s="98"/>
      <c r="D1100" s="98"/>
      <c r="E1100" s="98"/>
      <c r="F1100" s="99"/>
      <c r="G1100" s="100"/>
      <c r="H1100" s="100"/>
    </row>
    <row r="1101" customHeight="1" spans="2:8">
      <c r="B1101" s="98"/>
      <c r="C1101" s="98"/>
      <c r="D1101" s="98"/>
      <c r="E1101" s="98"/>
      <c r="F1101" s="99"/>
      <c r="G1101" s="100"/>
      <c r="H1101" s="100"/>
    </row>
    <row r="1102" customHeight="1" spans="2:8">
      <c r="B1102" s="98"/>
      <c r="C1102" s="98"/>
      <c r="D1102" s="98"/>
      <c r="E1102" s="98"/>
      <c r="F1102" s="99"/>
      <c r="G1102" s="100"/>
      <c r="H1102" s="100"/>
    </row>
    <row r="1103" customHeight="1" spans="2:8">
      <c r="B1103" s="98"/>
      <c r="C1103" s="98"/>
      <c r="D1103" s="98"/>
      <c r="E1103" s="98"/>
      <c r="F1103" s="99"/>
      <c r="G1103" s="100"/>
      <c r="H1103" s="100"/>
    </row>
    <row r="1104" customHeight="1" spans="2:8">
      <c r="B1104" s="98"/>
      <c r="C1104" s="98"/>
      <c r="D1104" s="98"/>
      <c r="E1104" s="98"/>
      <c r="F1104" s="99"/>
      <c r="G1104" s="100"/>
      <c r="H1104" s="100"/>
    </row>
    <row r="1105" customHeight="1" spans="2:8">
      <c r="B1105" s="98"/>
      <c r="C1105" s="98"/>
      <c r="D1105" s="98"/>
      <c r="E1105" s="98"/>
      <c r="F1105" s="99"/>
      <c r="G1105" s="100"/>
      <c r="H1105" s="100"/>
    </row>
    <row r="1106" customHeight="1" spans="2:8">
      <c r="B1106" s="98"/>
      <c r="C1106" s="98"/>
      <c r="D1106" s="98"/>
      <c r="E1106" s="98"/>
      <c r="F1106" s="99"/>
      <c r="G1106" s="100"/>
      <c r="H1106" s="100"/>
    </row>
    <row r="1107" customHeight="1" spans="2:8">
      <c r="B1107" s="98"/>
      <c r="C1107" s="98"/>
      <c r="D1107" s="98"/>
      <c r="E1107" s="98"/>
      <c r="F1107" s="99"/>
      <c r="G1107" s="100"/>
      <c r="H1107" s="100"/>
    </row>
    <row r="1108" customHeight="1" spans="2:8">
      <c r="B1108" s="98"/>
      <c r="C1108" s="98"/>
      <c r="D1108" s="98"/>
      <c r="E1108" s="98"/>
      <c r="F1108" s="99"/>
      <c r="G1108" s="100"/>
      <c r="H1108" s="100"/>
    </row>
    <row r="1109" customHeight="1" spans="2:8">
      <c r="B1109" s="98"/>
      <c r="C1109" s="98"/>
      <c r="D1109" s="98"/>
      <c r="E1109" s="98"/>
      <c r="F1109" s="99"/>
      <c r="G1109" s="100"/>
      <c r="H1109" s="100"/>
    </row>
    <row r="1110" customHeight="1" spans="2:8">
      <c r="B1110" s="98"/>
      <c r="C1110" s="98"/>
      <c r="D1110" s="98"/>
      <c r="E1110" s="98"/>
      <c r="F1110" s="99"/>
      <c r="G1110" s="100"/>
      <c r="H1110" s="100"/>
    </row>
    <row r="1111" customHeight="1" spans="2:8">
      <c r="B1111" s="98"/>
      <c r="C1111" s="98"/>
      <c r="D1111" s="98"/>
      <c r="E1111" s="98"/>
      <c r="F1111" s="99"/>
      <c r="G1111" s="100"/>
      <c r="H1111" s="100"/>
    </row>
    <row r="1112" customHeight="1" spans="2:8">
      <c r="B1112" s="98"/>
      <c r="C1112" s="98"/>
      <c r="D1112" s="98"/>
      <c r="E1112" s="98"/>
      <c r="F1112" s="99"/>
      <c r="G1112" s="100"/>
      <c r="H1112" s="100"/>
    </row>
    <row r="1113" customHeight="1" spans="2:8">
      <c r="B1113" s="98"/>
      <c r="C1113" s="98"/>
      <c r="D1113" s="98"/>
      <c r="E1113" s="98"/>
      <c r="F1113" s="99"/>
      <c r="G1113" s="100"/>
      <c r="H1113" s="100"/>
    </row>
    <row r="1114" customHeight="1" spans="2:8">
      <c r="B1114" s="98"/>
      <c r="C1114" s="98"/>
      <c r="D1114" s="98"/>
      <c r="E1114" s="98"/>
      <c r="F1114" s="99"/>
      <c r="G1114" s="100"/>
      <c r="H1114" s="100"/>
    </row>
    <row r="1115" customHeight="1" spans="2:8">
      <c r="B1115" s="98"/>
      <c r="C1115" s="98"/>
      <c r="D1115" s="98"/>
      <c r="E1115" s="98"/>
      <c r="F1115" s="99"/>
      <c r="G1115" s="100"/>
      <c r="H1115" s="100"/>
    </row>
    <row r="1116" customHeight="1" spans="2:8">
      <c r="B1116" s="98"/>
      <c r="C1116" s="98"/>
      <c r="D1116" s="98"/>
      <c r="E1116" s="98"/>
      <c r="F1116" s="99"/>
      <c r="G1116" s="100"/>
      <c r="H1116" s="100"/>
    </row>
    <row r="1117" customHeight="1" spans="2:8">
      <c r="B1117" s="98"/>
      <c r="C1117" s="98"/>
      <c r="D1117" s="98"/>
      <c r="E1117" s="98"/>
      <c r="F1117" s="99"/>
      <c r="G1117" s="100"/>
      <c r="H1117" s="100"/>
    </row>
    <row r="1118" customHeight="1" spans="2:8">
      <c r="B1118" s="98"/>
      <c r="C1118" s="98"/>
      <c r="D1118" s="98"/>
      <c r="E1118" s="98"/>
      <c r="F1118" s="99"/>
      <c r="G1118" s="100"/>
      <c r="H1118" s="100"/>
    </row>
    <row r="1119" customHeight="1" spans="2:8">
      <c r="B1119" s="98"/>
      <c r="C1119" s="98"/>
      <c r="D1119" s="98"/>
      <c r="E1119" s="98"/>
      <c r="F1119" s="99"/>
      <c r="G1119" s="100"/>
      <c r="H1119" s="100"/>
    </row>
    <row r="1120" customHeight="1" spans="2:8">
      <c r="B1120" s="98"/>
      <c r="C1120" s="98"/>
      <c r="D1120" s="98"/>
      <c r="E1120" s="98"/>
      <c r="F1120" s="99"/>
      <c r="G1120" s="100"/>
      <c r="H1120" s="100"/>
    </row>
    <row r="1121" customHeight="1" spans="2:8">
      <c r="B1121" s="98"/>
      <c r="C1121" s="98"/>
      <c r="D1121" s="98"/>
      <c r="E1121" s="98"/>
      <c r="F1121" s="99"/>
      <c r="G1121" s="100"/>
      <c r="H1121" s="100"/>
    </row>
    <row r="1122" customHeight="1" spans="2:8">
      <c r="B1122" s="98"/>
      <c r="C1122" s="98"/>
      <c r="D1122" s="98"/>
      <c r="E1122" s="98"/>
      <c r="F1122" s="99"/>
      <c r="G1122" s="100"/>
      <c r="H1122" s="100"/>
    </row>
    <row r="1123" customHeight="1" spans="2:8">
      <c r="B1123" s="98"/>
      <c r="C1123" s="98"/>
      <c r="D1123" s="98"/>
      <c r="E1123" s="98"/>
      <c r="F1123" s="99"/>
      <c r="G1123" s="100"/>
      <c r="H1123" s="100"/>
    </row>
    <row r="1124" customHeight="1" spans="2:8">
      <c r="B1124" s="98"/>
      <c r="C1124" s="98"/>
      <c r="D1124" s="98"/>
      <c r="E1124" s="98"/>
      <c r="F1124" s="99"/>
      <c r="G1124" s="100"/>
      <c r="H1124" s="100"/>
    </row>
    <row r="1125" customHeight="1" spans="2:8">
      <c r="B1125" s="98"/>
      <c r="C1125" s="98"/>
      <c r="D1125" s="98"/>
      <c r="E1125" s="98"/>
      <c r="F1125" s="99"/>
      <c r="G1125" s="100"/>
      <c r="H1125" s="100"/>
    </row>
    <row r="1126" customHeight="1" spans="2:8">
      <c r="B1126" s="98"/>
      <c r="C1126" s="98"/>
      <c r="D1126" s="98"/>
      <c r="E1126" s="98"/>
      <c r="F1126" s="99"/>
      <c r="G1126" s="100"/>
      <c r="H1126" s="100"/>
    </row>
    <row r="1127" customHeight="1" spans="2:8">
      <c r="B1127" s="98"/>
      <c r="C1127" s="98"/>
      <c r="D1127" s="98"/>
      <c r="E1127" s="98"/>
      <c r="F1127" s="99"/>
      <c r="G1127" s="100"/>
      <c r="H1127" s="100"/>
    </row>
    <row r="1128" customHeight="1" spans="2:8">
      <c r="B1128" s="98"/>
      <c r="C1128" s="98"/>
      <c r="D1128" s="98"/>
      <c r="E1128" s="98"/>
      <c r="F1128" s="99"/>
      <c r="G1128" s="100"/>
      <c r="H1128" s="100"/>
    </row>
    <row r="1129" customHeight="1" spans="2:8">
      <c r="B1129" s="98"/>
      <c r="C1129" s="98"/>
      <c r="D1129" s="98"/>
      <c r="E1129" s="98"/>
      <c r="F1129" s="99"/>
      <c r="G1129" s="100"/>
      <c r="H1129" s="100"/>
    </row>
    <row r="1130" customHeight="1" spans="2:8">
      <c r="B1130" s="98"/>
      <c r="C1130" s="98"/>
      <c r="D1130" s="98"/>
      <c r="E1130" s="98"/>
      <c r="F1130" s="99"/>
      <c r="G1130" s="100"/>
      <c r="H1130" s="100"/>
    </row>
    <row r="1131" customHeight="1" spans="2:8">
      <c r="B1131" s="98"/>
      <c r="C1131" s="98"/>
      <c r="D1131" s="98"/>
      <c r="E1131" s="98"/>
      <c r="F1131" s="99"/>
      <c r="G1131" s="100"/>
      <c r="H1131" s="100"/>
    </row>
    <row r="1132" customHeight="1" spans="2:8">
      <c r="B1132" s="98"/>
      <c r="C1132" s="98"/>
      <c r="D1132" s="98"/>
      <c r="E1132" s="98"/>
      <c r="F1132" s="99"/>
      <c r="G1132" s="100"/>
      <c r="H1132" s="100"/>
    </row>
    <row r="1133" customHeight="1" spans="2:8">
      <c r="B1133" s="98"/>
      <c r="C1133" s="98"/>
      <c r="D1133" s="98"/>
      <c r="E1133" s="98"/>
      <c r="F1133" s="99"/>
      <c r="G1133" s="100"/>
      <c r="H1133" s="100"/>
    </row>
    <row r="1134" customHeight="1" spans="2:8">
      <c r="B1134" s="98"/>
      <c r="C1134" s="98"/>
      <c r="D1134" s="98"/>
      <c r="E1134" s="98"/>
      <c r="F1134" s="99"/>
      <c r="G1134" s="100"/>
      <c r="H1134" s="100"/>
    </row>
    <row r="1135" customHeight="1" spans="2:8">
      <c r="B1135" s="98"/>
      <c r="C1135" s="98"/>
      <c r="D1135" s="98"/>
      <c r="E1135" s="98"/>
      <c r="F1135" s="99"/>
      <c r="G1135" s="100"/>
      <c r="H1135" s="100"/>
    </row>
    <row r="1136" customHeight="1" spans="2:8">
      <c r="B1136" s="98"/>
      <c r="C1136" s="98"/>
      <c r="D1136" s="98"/>
      <c r="E1136" s="98"/>
      <c r="F1136" s="99"/>
      <c r="G1136" s="100"/>
      <c r="H1136" s="100"/>
    </row>
    <row r="1137" customHeight="1" spans="2:8">
      <c r="B1137" s="98"/>
      <c r="C1137" s="98"/>
      <c r="D1137" s="98"/>
      <c r="E1137" s="98"/>
      <c r="F1137" s="99"/>
      <c r="G1137" s="100"/>
      <c r="H1137" s="100"/>
    </row>
    <row r="1138" customHeight="1" spans="2:8">
      <c r="B1138" s="98"/>
      <c r="C1138" s="98"/>
      <c r="D1138" s="98"/>
      <c r="E1138" s="98"/>
      <c r="F1138" s="99"/>
      <c r="G1138" s="100"/>
      <c r="H1138" s="100"/>
    </row>
    <row r="1139" customHeight="1" spans="2:8">
      <c r="B1139" s="98"/>
      <c r="C1139" s="98"/>
      <c r="D1139" s="98"/>
      <c r="E1139" s="98"/>
      <c r="F1139" s="99"/>
      <c r="G1139" s="100"/>
      <c r="H1139" s="100"/>
    </row>
    <row r="1140" customHeight="1" spans="2:8">
      <c r="B1140" s="98"/>
      <c r="C1140" s="98"/>
      <c r="D1140" s="98"/>
      <c r="E1140" s="98"/>
      <c r="F1140" s="99"/>
      <c r="G1140" s="100"/>
      <c r="H1140" s="100"/>
    </row>
    <row r="1141" customHeight="1" spans="2:8">
      <c r="B1141" s="98"/>
      <c r="C1141" s="98"/>
      <c r="D1141" s="98"/>
      <c r="E1141" s="98"/>
      <c r="F1141" s="99"/>
      <c r="G1141" s="100"/>
      <c r="H1141" s="100"/>
    </row>
    <row r="1142" customHeight="1" spans="2:8">
      <c r="B1142" s="98"/>
      <c r="C1142" s="98"/>
      <c r="D1142" s="98"/>
      <c r="E1142" s="98"/>
      <c r="F1142" s="99"/>
      <c r="G1142" s="100"/>
      <c r="H1142" s="100"/>
    </row>
    <row r="1143" customHeight="1" spans="2:8">
      <c r="B1143" s="98"/>
      <c r="C1143" s="98"/>
      <c r="D1143" s="98"/>
      <c r="E1143" s="98"/>
      <c r="F1143" s="99"/>
      <c r="G1143" s="100"/>
      <c r="H1143" s="100"/>
    </row>
    <row r="1144" customHeight="1" spans="2:8">
      <c r="B1144" s="98"/>
      <c r="C1144" s="98"/>
      <c r="D1144" s="98"/>
      <c r="E1144" s="98"/>
      <c r="F1144" s="99"/>
      <c r="G1144" s="100"/>
      <c r="H1144" s="100"/>
    </row>
    <row r="1145" customHeight="1" spans="2:8">
      <c r="B1145" s="98"/>
      <c r="C1145" s="98"/>
      <c r="D1145" s="98"/>
      <c r="E1145" s="98"/>
      <c r="F1145" s="99"/>
      <c r="G1145" s="100"/>
      <c r="H1145" s="100"/>
    </row>
    <row r="1146" customHeight="1" spans="2:8">
      <c r="B1146" s="98"/>
      <c r="C1146" s="98"/>
      <c r="D1146" s="98"/>
      <c r="E1146" s="98"/>
      <c r="F1146" s="99"/>
      <c r="G1146" s="100"/>
      <c r="H1146" s="100"/>
    </row>
    <row r="1147" customHeight="1" spans="2:8">
      <c r="B1147" s="98"/>
      <c r="C1147" s="98"/>
      <c r="D1147" s="98"/>
      <c r="E1147" s="98"/>
      <c r="F1147" s="99"/>
      <c r="G1147" s="100"/>
      <c r="H1147" s="100"/>
    </row>
    <row r="1148" customHeight="1" spans="2:8">
      <c r="B1148" s="98"/>
      <c r="C1148" s="98"/>
      <c r="D1148" s="98"/>
      <c r="E1148" s="98"/>
      <c r="F1148" s="99"/>
      <c r="G1148" s="100"/>
      <c r="H1148" s="100"/>
    </row>
    <row r="1149" customHeight="1" spans="2:8">
      <c r="B1149" s="98"/>
      <c r="C1149" s="98"/>
      <c r="D1149" s="98"/>
      <c r="E1149" s="98"/>
      <c r="F1149" s="99"/>
      <c r="G1149" s="100"/>
      <c r="H1149" s="100"/>
    </row>
    <row r="1150" customHeight="1" spans="2:8">
      <c r="B1150" s="98"/>
      <c r="C1150" s="98"/>
      <c r="D1150" s="98"/>
      <c r="E1150" s="98"/>
      <c r="F1150" s="99"/>
      <c r="G1150" s="100"/>
      <c r="H1150" s="100"/>
    </row>
    <row r="1151" customHeight="1" spans="2:8">
      <c r="B1151" s="98"/>
      <c r="C1151" s="98"/>
      <c r="D1151" s="98"/>
      <c r="E1151" s="98"/>
      <c r="F1151" s="99"/>
      <c r="G1151" s="100"/>
      <c r="H1151" s="100"/>
    </row>
    <row r="1152" customHeight="1" spans="2:8">
      <c r="B1152" s="98"/>
      <c r="C1152" s="98"/>
      <c r="D1152" s="98"/>
      <c r="E1152" s="98"/>
      <c r="F1152" s="99"/>
      <c r="G1152" s="100"/>
      <c r="H1152" s="100"/>
    </row>
    <row r="1153" customHeight="1" spans="2:8">
      <c r="B1153" s="98"/>
      <c r="C1153" s="98"/>
      <c r="D1153" s="98"/>
      <c r="E1153" s="98"/>
      <c r="F1153" s="99"/>
      <c r="G1153" s="100"/>
      <c r="H1153" s="100"/>
    </row>
    <row r="1154" customHeight="1" spans="2:8">
      <c r="B1154" s="98"/>
      <c r="C1154" s="98"/>
      <c r="D1154" s="98"/>
      <c r="E1154" s="98"/>
      <c r="F1154" s="99"/>
      <c r="G1154" s="100"/>
      <c r="H1154" s="100"/>
    </row>
    <row r="1155" customHeight="1" spans="2:8">
      <c r="B1155" s="98"/>
      <c r="C1155" s="98"/>
      <c r="D1155" s="98"/>
      <c r="E1155" s="98"/>
      <c r="F1155" s="99"/>
      <c r="G1155" s="100"/>
      <c r="H1155" s="100"/>
    </row>
    <row r="1156" customHeight="1" spans="2:8">
      <c r="B1156" s="98"/>
      <c r="C1156" s="98"/>
      <c r="D1156" s="98"/>
      <c r="E1156" s="98"/>
      <c r="F1156" s="99"/>
      <c r="G1156" s="100"/>
      <c r="H1156" s="100"/>
    </row>
    <row r="1157" customHeight="1" spans="2:8">
      <c r="B1157" s="98"/>
      <c r="C1157" s="98"/>
      <c r="D1157" s="98"/>
      <c r="E1157" s="98"/>
      <c r="F1157" s="99"/>
      <c r="G1157" s="100"/>
      <c r="H1157" s="100"/>
    </row>
    <row r="1158" customHeight="1" spans="2:8">
      <c r="B1158" s="98"/>
      <c r="C1158" s="98"/>
      <c r="D1158" s="98"/>
      <c r="E1158" s="98"/>
      <c r="F1158" s="99"/>
      <c r="G1158" s="100"/>
      <c r="H1158" s="100"/>
    </row>
    <row r="1159" customHeight="1" spans="2:8">
      <c r="B1159" s="98"/>
      <c r="C1159" s="98"/>
      <c r="D1159" s="98"/>
      <c r="E1159" s="98"/>
      <c r="F1159" s="99"/>
      <c r="G1159" s="100"/>
      <c r="H1159" s="100"/>
    </row>
    <row r="1160" customHeight="1" spans="2:8">
      <c r="B1160" s="98"/>
      <c r="C1160" s="98"/>
      <c r="D1160" s="98"/>
      <c r="E1160" s="98"/>
      <c r="F1160" s="99"/>
      <c r="G1160" s="100"/>
      <c r="H1160" s="100"/>
    </row>
    <row r="1161" customHeight="1" spans="2:8">
      <c r="B1161" s="98"/>
      <c r="C1161" s="98"/>
      <c r="D1161" s="98"/>
      <c r="E1161" s="98"/>
      <c r="F1161" s="99"/>
      <c r="G1161" s="100"/>
      <c r="H1161" s="100"/>
    </row>
    <row r="1162" customHeight="1" spans="2:8">
      <c r="B1162" s="98"/>
      <c r="C1162" s="98"/>
      <c r="D1162" s="98"/>
      <c r="E1162" s="98"/>
      <c r="F1162" s="99"/>
      <c r="G1162" s="100"/>
      <c r="H1162" s="100"/>
    </row>
    <row r="1163" customHeight="1" spans="2:8">
      <c r="B1163" s="98"/>
      <c r="C1163" s="98"/>
      <c r="D1163" s="98"/>
      <c r="E1163" s="98"/>
      <c r="F1163" s="99"/>
      <c r="G1163" s="100"/>
      <c r="H1163" s="100"/>
    </row>
    <row r="1164" customHeight="1" spans="2:8">
      <c r="B1164" s="98"/>
      <c r="C1164" s="98"/>
      <c r="D1164" s="98"/>
      <c r="E1164" s="98"/>
      <c r="F1164" s="99"/>
      <c r="G1164" s="100"/>
      <c r="H1164" s="100"/>
    </row>
    <row r="1165" customHeight="1" spans="2:8">
      <c r="B1165" s="98"/>
      <c r="C1165" s="98"/>
      <c r="D1165" s="98"/>
      <c r="E1165" s="98"/>
      <c r="F1165" s="99"/>
      <c r="G1165" s="100"/>
      <c r="H1165" s="100"/>
    </row>
    <row r="1166" customHeight="1" spans="2:8">
      <c r="B1166" s="98"/>
      <c r="C1166" s="98"/>
      <c r="D1166" s="98"/>
      <c r="E1166" s="98"/>
      <c r="F1166" s="99"/>
      <c r="G1166" s="100"/>
      <c r="H1166" s="100"/>
    </row>
    <row r="1167" customHeight="1" spans="2:8">
      <c r="B1167" s="98"/>
      <c r="C1167" s="98"/>
      <c r="D1167" s="98"/>
      <c r="E1167" s="98"/>
      <c r="F1167" s="99"/>
      <c r="G1167" s="100"/>
      <c r="H1167" s="100"/>
    </row>
    <row r="1168" customHeight="1" spans="2:8">
      <c r="B1168" s="98"/>
      <c r="C1168" s="98"/>
      <c r="D1168" s="98"/>
      <c r="E1168" s="98"/>
      <c r="F1168" s="99"/>
      <c r="G1168" s="100"/>
      <c r="H1168" s="100"/>
    </row>
    <row r="1169" customHeight="1" spans="2:8">
      <c r="B1169" s="98"/>
      <c r="C1169" s="98"/>
      <c r="D1169" s="98"/>
      <c r="E1169" s="98"/>
      <c r="F1169" s="99"/>
      <c r="G1169" s="100"/>
      <c r="H1169" s="100"/>
    </row>
    <row r="1170" customHeight="1" spans="2:8">
      <c r="B1170" s="98"/>
      <c r="C1170" s="98"/>
      <c r="D1170" s="98"/>
      <c r="E1170" s="98"/>
      <c r="F1170" s="99"/>
      <c r="G1170" s="100"/>
      <c r="H1170" s="100"/>
    </row>
    <row r="1171" customHeight="1" spans="2:8">
      <c r="B1171" s="98"/>
      <c r="C1171" s="98"/>
      <c r="D1171" s="98"/>
      <c r="E1171" s="98"/>
      <c r="F1171" s="99"/>
      <c r="G1171" s="100"/>
      <c r="H1171" s="100"/>
    </row>
    <row r="1172" customHeight="1" spans="2:8">
      <c r="B1172" s="98"/>
      <c r="C1172" s="98"/>
      <c r="D1172" s="98"/>
      <c r="E1172" s="98"/>
      <c r="F1172" s="99"/>
      <c r="G1172" s="100"/>
      <c r="H1172" s="100"/>
    </row>
    <row r="1173" customHeight="1" spans="2:8">
      <c r="B1173" s="98"/>
      <c r="C1173" s="98"/>
      <c r="D1173" s="98"/>
      <c r="E1173" s="98"/>
      <c r="F1173" s="99"/>
      <c r="G1173" s="100"/>
      <c r="H1173" s="100"/>
    </row>
    <row r="1174" customHeight="1" spans="2:8">
      <c r="B1174" s="98"/>
      <c r="C1174" s="98"/>
      <c r="D1174" s="98"/>
      <c r="E1174" s="98"/>
      <c r="F1174" s="99"/>
      <c r="G1174" s="100"/>
      <c r="H1174" s="100"/>
    </row>
    <row r="1175" customHeight="1" spans="2:8">
      <c r="B1175" s="98"/>
      <c r="C1175" s="98"/>
      <c r="D1175" s="98"/>
      <c r="E1175" s="98"/>
      <c r="F1175" s="99"/>
      <c r="G1175" s="100"/>
      <c r="H1175" s="100"/>
    </row>
    <row r="1176" customHeight="1" spans="2:8">
      <c r="B1176" s="98"/>
      <c r="C1176" s="98"/>
      <c r="D1176" s="98"/>
      <c r="E1176" s="98"/>
      <c r="F1176" s="99"/>
      <c r="G1176" s="100"/>
      <c r="H1176" s="100"/>
    </row>
    <row r="1177" customHeight="1" spans="2:8">
      <c r="B1177" s="98"/>
      <c r="C1177" s="98"/>
      <c r="D1177" s="98"/>
      <c r="E1177" s="98"/>
      <c r="F1177" s="99"/>
      <c r="G1177" s="100"/>
      <c r="H1177" s="100"/>
    </row>
    <row r="1178" customHeight="1" spans="2:8">
      <c r="B1178" s="98"/>
      <c r="C1178" s="98"/>
      <c r="D1178" s="98"/>
      <c r="E1178" s="98"/>
      <c r="F1178" s="99"/>
      <c r="G1178" s="100"/>
      <c r="H1178" s="100"/>
    </row>
    <row r="1179" customHeight="1" spans="2:8">
      <c r="B1179" s="98"/>
      <c r="C1179" s="98"/>
      <c r="D1179" s="98"/>
      <c r="E1179" s="98"/>
      <c r="F1179" s="99"/>
      <c r="G1179" s="100"/>
      <c r="H1179" s="100"/>
    </row>
    <row r="1180" customHeight="1" spans="2:8">
      <c r="B1180" s="98"/>
      <c r="C1180" s="98"/>
      <c r="D1180" s="98"/>
      <c r="E1180" s="98"/>
      <c r="F1180" s="99"/>
      <c r="G1180" s="100"/>
      <c r="H1180" s="100"/>
    </row>
    <row r="1181" customHeight="1" spans="2:8">
      <c r="B1181" s="98"/>
      <c r="C1181" s="98"/>
      <c r="D1181" s="98"/>
      <c r="E1181" s="98"/>
      <c r="F1181" s="99"/>
      <c r="G1181" s="100"/>
      <c r="H1181" s="100"/>
    </row>
    <row r="1182" customHeight="1" spans="2:8">
      <c r="B1182" s="98"/>
      <c r="C1182" s="98"/>
      <c r="D1182" s="98"/>
      <c r="E1182" s="98"/>
      <c r="F1182" s="99"/>
      <c r="G1182" s="100"/>
      <c r="H1182" s="100"/>
    </row>
    <row r="1183" customHeight="1" spans="2:8">
      <c r="B1183" s="98"/>
      <c r="C1183" s="98"/>
      <c r="D1183" s="98"/>
      <c r="E1183" s="98"/>
      <c r="F1183" s="99"/>
      <c r="G1183" s="100"/>
      <c r="H1183" s="100"/>
    </row>
    <row r="1184" customHeight="1" spans="2:8">
      <c r="B1184" s="98"/>
      <c r="C1184" s="98"/>
      <c r="D1184" s="98"/>
      <c r="E1184" s="98"/>
      <c r="F1184" s="99"/>
      <c r="G1184" s="100"/>
      <c r="H1184" s="100"/>
    </row>
    <row r="1185" customHeight="1" spans="2:8">
      <c r="B1185" s="98"/>
      <c r="C1185" s="98"/>
      <c r="D1185" s="98"/>
      <c r="E1185" s="98"/>
      <c r="F1185" s="99"/>
      <c r="G1185" s="100"/>
      <c r="H1185" s="100"/>
    </row>
    <row r="1186" customHeight="1" spans="2:8">
      <c r="B1186" s="98"/>
      <c r="C1186" s="98"/>
      <c r="D1186" s="98"/>
      <c r="E1186" s="98"/>
      <c r="F1186" s="99"/>
      <c r="G1186" s="100"/>
      <c r="H1186" s="100"/>
    </row>
    <row r="1187" customHeight="1" spans="2:8">
      <c r="B1187" s="98"/>
      <c r="C1187" s="98"/>
      <c r="D1187" s="98"/>
      <c r="E1187" s="98"/>
      <c r="F1187" s="99"/>
      <c r="G1187" s="100"/>
      <c r="H1187" s="100"/>
    </row>
    <row r="1188" customHeight="1" spans="2:8">
      <c r="B1188" s="98"/>
      <c r="C1188" s="98"/>
      <c r="D1188" s="98"/>
      <c r="E1188" s="98"/>
      <c r="F1188" s="99"/>
      <c r="G1188" s="100"/>
      <c r="H1188" s="100"/>
    </row>
    <row r="1189" customHeight="1" spans="2:8">
      <c r="B1189" s="98"/>
      <c r="C1189" s="98"/>
      <c r="D1189" s="98"/>
      <c r="E1189" s="98"/>
      <c r="F1189" s="99"/>
      <c r="G1189" s="100"/>
      <c r="H1189" s="100"/>
    </row>
    <row r="1190" customHeight="1" spans="2:8">
      <c r="B1190" s="98"/>
      <c r="C1190" s="98"/>
      <c r="D1190" s="98"/>
      <c r="E1190" s="98"/>
      <c r="F1190" s="99"/>
      <c r="G1190" s="100"/>
      <c r="H1190" s="100"/>
    </row>
    <row r="1191" customHeight="1" spans="2:8">
      <c r="B1191" s="98"/>
      <c r="C1191" s="98"/>
      <c r="D1191" s="98"/>
      <c r="E1191" s="98"/>
      <c r="F1191" s="99"/>
      <c r="G1191" s="100"/>
      <c r="H1191" s="100"/>
    </row>
    <row r="1192" customHeight="1" spans="2:8">
      <c r="B1192" s="98"/>
      <c r="C1192" s="98"/>
      <c r="D1192" s="98"/>
      <c r="E1192" s="98"/>
      <c r="F1192" s="99"/>
      <c r="G1192" s="100"/>
      <c r="H1192" s="100"/>
    </row>
    <row r="1193" customHeight="1" spans="2:8">
      <c r="B1193" s="98"/>
      <c r="C1193" s="98"/>
      <c r="D1193" s="98"/>
      <c r="E1193" s="98"/>
      <c r="F1193" s="99"/>
      <c r="G1193" s="100"/>
      <c r="H1193" s="100"/>
    </row>
    <row r="1194" customHeight="1" spans="2:8">
      <c r="B1194" s="98"/>
      <c r="C1194" s="98"/>
      <c r="D1194" s="98"/>
      <c r="E1194" s="98"/>
      <c r="F1194" s="99"/>
      <c r="G1194" s="100"/>
      <c r="H1194" s="100"/>
    </row>
    <row r="1195" customHeight="1" spans="2:8">
      <c r="B1195" s="98"/>
      <c r="C1195" s="98"/>
      <c r="D1195" s="98"/>
      <c r="E1195" s="98"/>
      <c r="F1195" s="99"/>
      <c r="G1195" s="100"/>
      <c r="H1195" s="100"/>
    </row>
    <row r="1196" customHeight="1" spans="2:8">
      <c r="B1196" s="98"/>
      <c r="C1196" s="98"/>
      <c r="D1196" s="98"/>
      <c r="E1196" s="98"/>
      <c r="F1196" s="99"/>
      <c r="G1196" s="100"/>
      <c r="H1196" s="100"/>
    </row>
    <row r="1197" customHeight="1" spans="2:8">
      <c r="B1197" s="98"/>
      <c r="C1197" s="98"/>
      <c r="D1197" s="98"/>
      <c r="E1197" s="98"/>
      <c r="F1197" s="99"/>
      <c r="G1197" s="100"/>
      <c r="H1197" s="100"/>
    </row>
    <row r="1198" customHeight="1" spans="2:8">
      <c r="B1198" s="98"/>
      <c r="C1198" s="98"/>
      <c r="D1198" s="98"/>
      <c r="E1198" s="98"/>
      <c r="F1198" s="99"/>
      <c r="G1198" s="100"/>
      <c r="H1198" s="100"/>
    </row>
    <row r="1199" customHeight="1" spans="2:8">
      <c r="B1199" s="98"/>
      <c r="C1199" s="98"/>
      <c r="D1199" s="98"/>
      <c r="E1199" s="98"/>
      <c r="F1199" s="99"/>
      <c r="G1199" s="100"/>
      <c r="H1199" s="100"/>
    </row>
    <row r="1200" customHeight="1" spans="2:8">
      <c r="B1200" s="98"/>
      <c r="C1200" s="98"/>
      <c r="D1200" s="98"/>
      <c r="E1200" s="98"/>
      <c r="F1200" s="99"/>
      <c r="G1200" s="100"/>
      <c r="H1200" s="100"/>
    </row>
    <row r="1201" customHeight="1" spans="2:8">
      <c r="B1201" s="98"/>
      <c r="C1201" s="98"/>
      <c r="D1201" s="98"/>
      <c r="E1201" s="98"/>
      <c r="F1201" s="99"/>
      <c r="G1201" s="100"/>
      <c r="H1201" s="100"/>
    </row>
    <row r="1202" customHeight="1" spans="2:8">
      <c r="B1202" s="98"/>
      <c r="C1202" s="98"/>
      <c r="D1202" s="98"/>
      <c r="E1202" s="98"/>
      <c r="F1202" s="99"/>
      <c r="G1202" s="100"/>
      <c r="H1202" s="100"/>
    </row>
    <row r="1203" customHeight="1" spans="2:8">
      <c r="B1203" s="98"/>
      <c r="C1203" s="98"/>
      <c r="D1203" s="98"/>
      <c r="E1203" s="98"/>
      <c r="F1203" s="99"/>
      <c r="G1203" s="100"/>
      <c r="H1203" s="100"/>
    </row>
    <row r="1204" customHeight="1" spans="2:8">
      <c r="B1204" s="98"/>
      <c r="C1204" s="98"/>
      <c r="D1204" s="98"/>
      <c r="E1204" s="98"/>
      <c r="F1204" s="99"/>
      <c r="G1204" s="100"/>
      <c r="H1204" s="100"/>
    </row>
    <row r="1205" customHeight="1" spans="2:8">
      <c r="B1205" s="98"/>
      <c r="C1205" s="98"/>
      <c r="D1205" s="98"/>
      <c r="E1205" s="98"/>
      <c r="F1205" s="99"/>
      <c r="G1205" s="100"/>
      <c r="H1205" s="100"/>
    </row>
    <row r="1206" customHeight="1" spans="2:8">
      <c r="B1206" s="98"/>
      <c r="C1206" s="98"/>
      <c r="D1206" s="98"/>
      <c r="E1206" s="98"/>
      <c r="F1206" s="99"/>
      <c r="G1206" s="100"/>
      <c r="H1206" s="100"/>
    </row>
    <row r="1207" customHeight="1" spans="2:8">
      <c r="B1207" s="98"/>
      <c r="C1207" s="98"/>
      <c r="D1207" s="98"/>
      <c r="E1207" s="98"/>
      <c r="F1207" s="99"/>
      <c r="G1207" s="100"/>
      <c r="H1207" s="100"/>
    </row>
    <row r="1208" customHeight="1" spans="2:8">
      <c r="B1208" s="98"/>
      <c r="C1208" s="98"/>
      <c r="D1208" s="98"/>
      <c r="E1208" s="98"/>
      <c r="F1208" s="99"/>
      <c r="G1208" s="100"/>
      <c r="H1208" s="100"/>
    </row>
    <row r="1209" customHeight="1" spans="2:8">
      <c r="B1209" s="98"/>
      <c r="C1209" s="98"/>
      <c r="D1209" s="98"/>
      <c r="E1209" s="98"/>
      <c r="F1209" s="99"/>
      <c r="G1209" s="100"/>
      <c r="H1209" s="100"/>
    </row>
    <row r="1210" customHeight="1" spans="2:8">
      <c r="B1210" s="98"/>
      <c r="C1210" s="98"/>
      <c r="D1210" s="98"/>
      <c r="E1210" s="98"/>
      <c r="F1210" s="99"/>
      <c r="G1210" s="100"/>
      <c r="H1210" s="100"/>
    </row>
    <row r="1211" customHeight="1" spans="2:8">
      <c r="B1211" s="98"/>
      <c r="C1211" s="98"/>
      <c r="D1211" s="98"/>
      <c r="E1211" s="98"/>
      <c r="F1211" s="99"/>
      <c r="G1211" s="100"/>
      <c r="H1211" s="100"/>
    </row>
    <row r="1212" customHeight="1" spans="2:8">
      <c r="B1212" s="98"/>
      <c r="C1212" s="98"/>
      <c r="D1212" s="98"/>
      <c r="E1212" s="98"/>
      <c r="F1212" s="99"/>
      <c r="G1212" s="100"/>
      <c r="H1212" s="100"/>
    </row>
    <row r="1213" customHeight="1" spans="2:8">
      <c r="B1213" s="98"/>
      <c r="C1213" s="98"/>
      <c r="D1213" s="98"/>
      <c r="E1213" s="98"/>
      <c r="F1213" s="99"/>
      <c r="G1213" s="100"/>
      <c r="H1213" s="100"/>
    </row>
    <row r="1214" customHeight="1" spans="2:8">
      <c r="B1214" s="98"/>
      <c r="C1214" s="98"/>
      <c r="D1214" s="98"/>
      <c r="E1214" s="98"/>
      <c r="F1214" s="99"/>
      <c r="G1214" s="100"/>
      <c r="H1214" s="100"/>
    </row>
    <row r="1215" customHeight="1" spans="2:8">
      <c r="B1215" s="98"/>
      <c r="C1215" s="98"/>
      <c r="D1215" s="98"/>
      <c r="E1215" s="98"/>
      <c r="F1215" s="99"/>
      <c r="G1215" s="100"/>
      <c r="H1215" s="100"/>
    </row>
    <row r="1216" customHeight="1" spans="2:8">
      <c r="B1216" s="98"/>
      <c r="C1216" s="98"/>
      <c r="D1216" s="98"/>
      <c r="E1216" s="98"/>
      <c r="F1216" s="99"/>
      <c r="G1216" s="100"/>
      <c r="H1216" s="100"/>
    </row>
    <row r="1217" customHeight="1" spans="2:8">
      <c r="B1217" s="98"/>
      <c r="C1217" s="98"/>
      <c r="D1217" s="98"/>
      <c r="E1217" s="98"/>
      <c r="F1217" s="99"/>
      <c r="G1217" s="100"/>
      <c r="H1217" s="100"/>
    </row>
    <row r="1218" customHeight="1" spans="2:8">
      <c r="B1218" s="98"/>
      <c r="C1218" s="98"/>
      <c r="D1218" s="98"/>
      <c r="E1218" s="98"/>
      <c r="F1218" s="99"/>
      <c r="G1218" s="100"/>
      <c r="H1218" s="100"/>
    </row>
    <row r="1219" customHeight="1" spans="2:8">
      <c r="B1219" s="98"/>
      <c r="C1219" s="98"/>
      <c r="D1219" s="98"/>
      <c r="E1219" s="98"/>
      <c r="F1219" s="99"/>
      <c r="G1219" s="100"/>
      <c r="H1219" s="100"/>
    </row>
    <row r="1220" customHeight="1" spans="2:8">
      <c r="B1220" s="98"/>
      <c r="C1220" s="98"/>
      <c r="D1220" s="98"/>
      <c r="E1220" s="98"/>
      <c r="F1220" s="99"/>
      <c r="G1220" s="100"/>
      <c r="H1220" s="100"/>
    </row>
    <row r="1221" customHeight="1" spans="2:8">
      <c r="B1221" s="98"/>
      <c r="C1221" s="98"/>
      <c r="D1221" s="98"/>
      <c r="E1221" s="98"/>
      <c r="F1221" s="99"/>
      <c r="G1221" s="100"/>
      <c r="H1221" s="100"/>
    </row>
    <row r="1222" customHeight="1" spans="2:8">
      <c r="B1222" s="98"/>
      <c r="C1222" s="98"/>
      <c r="D1222" s="98"/>
      <c r="E1222" s="98"/>
      <c r="F1222" s="99"/>
      <c r="G1222" s="100"/>
      <c r="H1222" s="100"/>
    </row>
    <row r="1223" customHeight="1" spans="2:8">
      <c r="B1223" s="98"/>
      <c r="C1223" s="98"/>
      <c r="D1223" s="98"/>
      <c r="E1223" s="98"/>
      <c r="F1223" s="99"/>
      <c r="G1223" s="100"/>
      <c r="H1223" s="100"/>
    </row>
    <row r="1224" customHeight="1" spans="2:8">
      <c r="B1224" s="98"/>
      <c r="C1224" s="98"/>
      <c r="D1224" s="98"/>
      <c r="E1224" s="98"/>
      <c r="F1224" s="99"/>
      <c r="G1224" s="100"/>
      <c r="H1224" s="100"/>
    </row>
    <row r="1225" customHeight="1" spans="2:8">
      <c r="B1225" s="98"/>
      <c r="C1225" s="98"/>
      <c r="D1225" s="98"/>
      <c r="E1225" s="98"/>
      <c r="F1225" s="99"/>
      <c r="G1225" s="100"/>
      <c r="H1225" s="100"/>
    </row>
    <row r="1226" customHeight="1" spans="2:8">
      <c r="B1226" s="98"/>
      <c r="C1226" s="98"/>
      <c r="D1226" s="98"/>
      <c r="E1226" s="98"/>
      <c r="F1226" s="99"/>
      <c r="G1226" s="100"/>
      <c r="H1226" s="100"/>
    </row>
    <row r="1227" customHeight="1" spans="2:8">
      <c r="B1227" s="98"/>
      <c r="C1227" s="98"/>
      <c r="D1227" s="98"/>
      <c r="E1227" s="98"/>
      <c r="F1227" s="99"/>
      <c r="G1227" s="100"/>
      <c r="H1227" s="100"/>
    </row>
    <row r="1228" customHeight="1" spans="2:8">
      <c r="B1228" s="98"/>
      <c r="C1228" s="98"/>
      <c r="D1228" s="98"/>
      <c r="E1228" s="98"/>
      <c r="F1228" s="99"/>
      <c r="G1228" s="100"/>
      <c r="H1228" s="100"/>
    </row>
    <row r="1229" customHeight="1" spans="2:8">
      <c r="B1229" s="98"/>
      <c r="C1229" s="98"/>
      <c r="D1229" s="98"/>
      <c r="E1229" s="98"/>
      <c r="F1229" s="99"/>
      <c r="G1229" s="100"/>
      <c r="H1229" s="100"/>
    </row>
    <row r="1230" customHeight="1" spans="2:8">
      <c r="B1230" s="98"/>
      <c r="C1230" s="98"/>
      <c r="D1230" s="98"/>
      <c r="E1230" s="98"/>
      <c r="F1230" s="99"/>
      <c r="G1230" s="100"/>
      <c r="H1230" s="100"/>
    </row>
    <row r="1231" customHeight="1" spans="2:8">
      <c r="B1231" s="98"/>
      <c r="C1231" s="98"/>
      <c r="D1231" s="98"/>
      <c r="E1231" s="98"/>
      <c r="F1231" s="99"/>
      <c r="G1231" s="100"/>
      <c r="H1231" s="100"/>
    </row>
    <row r="1232" customHeight="1" spans="2:8">
      <c r="B1232" s="98"/>
      <c r="C1232" s="98"/>
      <c r="D1232" s="98"/>
      <c r="E1232" s="98"/>
      <c r="F1232" s="99"/>
      <c r="G1232" s="100"/>
      <c r="H1232" s="100"/>
    </row>
    <row r="1233" customHeight="1" spans="2:8">
      <c r="B1233" s="98"/>
      <c r="C1233" s="98"/>
      <c r="D1233" s="98"/>
      <c r="E1233" s="98"/>
      <c r="F1233" s="99"/>
      <c r="G1233" s="100"/>
      <c r="H1233" s="100"/>
    </row>
    <row r="1234" customHeight="1" spans="2:8">
      <c r="B1234" s="98"/>
      <c r="C1234" s="98"/>
      <c r="D1234" s="98"/>
      <c r="E1234" s="98"/>
      <c r="F1234" s="99"/>
      <c r="G1234" s="100"/>
      <c r="H1234" s="100"/>
    </row>
    <row r="1235" customHeight="1" spans="2:8">
      <c r="B1235" s="98"/>
      <c r="C1235" s="98"/>
      <c r="D1235" s="98"/>
      <c r="E1235" s="98"/>
      <c r="F1235" s="99"/>
      <c r="G1235" s="100"/>
      <c r="H1235" s="100"/>
    </row>
    <row r="1236" customHeight="1" spans="2:8">
      <c r="B1236" s="98"/>
      <c r="C1236" s="98"/>
      <c r="D1236" s="98"/>
      <c r="E1236" s="98"/>
      <c r="F1236" s="99"/>
      <c r="G1236" s="100"/>
      <c r="H1236" s="100"/>
    </row>
    <row r="1237" customHeight="1" spans="2:8">
      <c r="B1237" s="98"/>
      <c r="C1237" s="98"/>
      <c r="D1237" s="98"/>
      <c r="E1237" s="98"/>
      <c r="F1237" s="99"/>
      <c r="G1237" s="100"/>
      <c r="H1237" s="100"/>
    </row>
    <row r="1238" customHeight="1" spans="2:8">
      <c r="B1238" s="98"/>
      <c r="C1238" s="98"/>
      <c r="D1238" s="98"/>
      <c r="E1238" s="98"/>
      <c r="F1238" s="99"/>
      <c r="G1238" s="100"/>
      <c r="H1238" s="100"/>
    </row>
    <row r="1239" customHeight="1" spans="2:8">
      <c r="B1239" s="98"/>
      <c r="C1239" s="98"/>
      <c r="D1239" s="98"/>
      <c r="E1239" s="98"/>
      <c r="F1239" s="99"/>
      <c r="G1239" s="100"/>
      <c r="H1239" s="100"/>
    </row>
    <row r="1240" customHeight="1" spans="2:8">
      <c r="B1240" s="98"/>
      <c r="C1240" s="98"/>
      <c r="D1240" s="98"/>
      <c r="E1240" s="98"/>
      <c r="F1240" s="99"/>
      <c r="G1240" s="100"/>
      <c r="H1240" s="100"/>
    </row>
    <row r="1241" customHeight="1" spans="2:8">
      <c r="B1241" s="98"/>
      <c r="C1241" s="98"/>
      <c r="D1241" s="98"/>
      <c r="E1241" s="98"/>
      <c r="F1241" s="99"/>
      <c r="G1241" s="100"/>
      <c r="H1241" s="100"/>
    </row>
    <row r="1242" customHeight="1" spans="2:8">
      <c r="B1242" s="98"/>
      <c r="C1242" s="98"/>
      <c r="D1242" s="98"/>
      <c r="E1242" s="98"/>
      <c r="F1242" s="99"/>
      <c r="G1242" s="100"/>
      <c r="H1242" s="100"/>
    </row>
    <row r="1243" customHeight="1" spans="2:8">
      <c r="B1243" s="98"/>
      <c r="C1243" s="98"/>
      <c r="D1243" s="98"/>
      <c r="E1243" s="98"/>
      <c r="F1243" s="99"/>
      <c r="G1243" s="100"/>
      <c r="H1243" s="100"/>
    </row>
    <row r="1244" customHeight="1" spans="2:8">
      <c r="B1244" s="98"/>
      <c r="C1244" s="98"/>
      <c r="D1244" s="98"/>
      <c r="E1244" s="98"/>
      <c r="F1244" s="99"/>
      <c r="G1244" s="100"/>
      <c r="H1244" s="100"/>
    </row>
    <row r="1245" customHeight="1" spans="2:8">
      <c r="B1245" s="98"/>
      <c r="C1245" s="98"/>
      <c r="D1245" s="98"/>
      <c r="E1245" s="98"/>
      <c r="F1245" s="99"/>
      <c r="G1245" s="100"/>
      <c r="H1245" s="100"/>
    </row>
    <row r="1246" customHeight="1" spans="2:8">
      <c r="B1246" s="98"/>
      <c r="C1246" s="98"/>
      <c r="D1246" s="98"/>
      <c r="E1246" s="98"/>
      <c r="F1246" s="99"/>
      <c r="G1246" s="100"/>
      <c r="H1246" s="100"/>
    </row>
    <row r="1247" customHeight="1" spans="2:8">
      <c r="B1247" s="98"/>
      <c r="C1247" s="98"/>
      <c r="D1247" s="98"/>
      <c r="E1247" s="98"/>
      <c r="F1247" s="99"/>
      <c r="G1247" s="100"/>
      <c r="H1247" s="100"/>
    </row>
    <row r="1248" customHeight="1" spans="2:8">
      <c r="B1248" s="98"/>
      <c r="C1248" s="98"/>
      <c r="D1248" s="98"/>
      <c r="E1248" s="98"/>
      <c r="F1248" s="99"/>
      <c r="G1248" s="100"/>
      <c r="H1248" s="100"/>
    </row>
    <row r="1249" customHeight="1" spans="2:8">
      <c r="B1249" s="98"/>
      <c r="C1249" s="98"/>
      <c r="D1249" s="98"/>
      <c r="E1249" s="98"/>
      <c r="F1249" s="99"/>
      <c r="G1249" s="100"/>
      <c r="H1249" s="100"/>
    </row>
    <row r="1250" customHeight="1" spans="2:8">
      <c r="B1250" s="98"/>
      <c r="C1250" s="98"/>
      <c r="D1250" s="98"/>
      <c r="E1250" s="98"/>
      <c r="F1250" s="99"/>
      <c r="G1250" s="100"/>
      <c r="H1250" s="100"/>
    </row>
    <row r="1251" customHeight="1" spans="2:8">
      <c r="B1251" s="98"/>
      <c r="C1251" s="98"/>
      <c r="D1251" s="98"/>
      <c r="E1251" s="98"/>
      <c r="F1251" s="99"/>
      <c r="G1251" s="100"/>
      <c r="H1251" s="100"/>
    </row>
    <row r="1252" customHeight="1" spans="2:8">
      <c r="B1252" s="98"/>
      <c r="C1252" s="98"/>
      <c r="D1252" s="98"/>
      <c r="E1252" s="98"/>
      <c r="F1252" s="99"/>
      <c r="G1252" s="100"/>
      <c r="H1252" s="100"/>
    </row>
    <row r="1253" customHeight="1" spans="2:8">
      <c r="B1253" s="98"/>
      <c r="C1253" s="98"/>
      <c r="D1253" s="98"/>
      <c r="E1253" s="98"/>
      <c r="F1253" s="99"/>
      <c r="G1253" s="100"/>
      <c r="H1253" s="100"/>
    </row>
    <row r="1254" customHeight="1" spans="2:8">
      <c r="B1254" s="98"/>
      <c r="C1254" s="98"/>
      <c r="D1254" s="98"/>
      <c r="E1254" s="98"/>
      <c r="F1254" s="99"/>
      <c r="G1254" s="100"/>
      <c r="H1254" s="100"/>
    </row>
    <row r="1255" customHeight="1" spans="2:8">
      <c r="B1255" s="98"/>
      <c r="C1255" s="98"/>
      <c r="D1255" s="98"/>
      <c r="E1255" s="98"/>
      <c r="F1255" s="99"/>
      <c r="G1255" s="100"/>
      <c r="H1255" s="100"/>
    </row>
    <row r="1256" customHeight="1" spans="2:8">
      <c r="B1256" s="98"/>
      <c r="C1256" s="98"/>
      <c r="D1256" s="98"/>
      <c r="E1256" s="98"/>
      <c r="F1256" s="99"/>
      <c r="G1256" s="100"/>
      <c r="H1256" s="100"/>
    </row>
    <row r="1257" customHeight="1" spans="2:8">
      <c r="B1257" s="98"/>
      <c r="C1257" s="98"/>
      <c r="D1257" s="98"/>
      <c r="E1257" s="98"/>
      <c r="F1257" s="99"/>
      <c r="G1257" s="100"/>
      <c r="H1257" s="100"/>
    </row>
    <row r="1258" customHeight="1" spans="2:8">
      <c r="B1258" s="98"/>
      <c r="C1258" s="98"/>
      <c r="D1258" s="98"/>
      <c r="E1258" s="98"/>
      <c r="F1258" s="99"/>
      <c r="G1258" s="100"/>
      <c r="H1258" s="100"/>
    </row>
    <row r="1259" customHeight="1" spans="2:8">
      <c r="B1259" s="98"/>
      <c r="C1259" s="98"/>
      <c r="D1259" s="98"/>
      <c r="E1259" s="98"/>
      <c r="F1259" s="99"/>
      <c r="G1259" s="100"/>
      <c r="H1259" s="100"/>
    </row>
    <row r="1260" customHeight="1" spans="2:8">
      <c r="B1260" s="98"/>
      <c r="C1260" s="98"/>
      <c r="D1260" s="98"/>
      <c r="E1260" s="98"/>
      <c r="F1260" s="99"/>
      <c r="G1260" s="100"/>
      <c r="H1260" s="100"/>
    </row>
    <row r="1261" customHeight="1" spans="2:8">
      <c r="B1261" s="98"/>
      <c r="C1261" s="98"/>
      <c r="D1261" s="98"/>
      <c r="E1261" s="98"/>
      <c r="F1261" s="99"/>
      <c r="G1261" s="100"/>
      <c r="H1261" s="100"/>
    </row>
    <row r="1262" customHeight="1" spans="2:8">
      <c r="B1262" s="98"/>
      <c r="C1262" s="98"/>
      <c r="D1262" s="98"/>
      <c r="E1262" s="98"/>
      <c r="F1262" s="99"/>
      <c r="G1262" s="100"/>
      <c r="H1262" s="100"/>
    </row>
    <row r="1263" customHeight="1" spans="2:8">
      <c r="B1263" s="98"/>
      <c r="C1263" s="98"/>
      <c r="D1263" s="98"/>
      <c r="E1263" s="98"/>
      <c r="F1263" s="99"/>
      <c r="G1263" s="100"/>
      <c r="H1263" s="100"/>
    </row>
    <row r="1264" customHeight="1" spans="2:8">
      <c r="B1264" s="98"/>
      <c r="C1264" s="98"/>
      <c r="D1264" s="98"/>
      <c r="E1264" s="98"/>
      <c r="F1264" s="99"/>
      <c r="G1264" s="100"/>
      <c r="H1264" s="100"/>
    </row>
    <row r="1265" customHeight="1" spans="2:8">
      <c r="B1265" s="98"/>
      <c r="C1265" s="98"/>
      <c r="D1265" s="98"/>
      <c r="E1265" s="98"/>
      <c r="F1265" s="99"/>
      <c r="G1265" s="100"/>
      <c r="H1265" s="100"/>
    </row>
    <row r="1266" customHeight="1" spans="2:8">
      <c r="B1266" s="98"/>
      <c r="C1266" s="98"/>
      <c r="D1266" s="98"/>
      <c r="E1266" s="98"/>
      <c r="F1266" s="99"/>
      <c r="G1266" s="100"/>
      <c r="H1266" s="100"/>
    </row>
    <row r="1267" customHeight="1" spans="2:8">
      <c r="B1267" s="98"/>
      <c r="C1267" s="98"/>
      <c r="D1267" s="98"/>
      <c r="E1267" s="98"/>
      <c r="F1267" s="99"/>
      <c r="G1267" s="100"/>
      <c r="H1267" s="100"/>
    </row>
    <row r="1268" customHeight="1" spans="2:8">
      <c r="B1268" s="98"/>
      <c r="C1268" s="98"/>
      <c r="D1268" s="98"/>
      <c r="E1268" s="98"/>
      <c r="F1268" s="99"/>
      <c r="G1268" s="100"/>
      <c r="H1268" s="100"/>
    </row>
    <row r="1269" customHeight="1" spans="2:8">
      <c r="B1269" s="98"/>
      <c r="C1269" s="98"/>
      <c r="D1269" s="98"/>
      <c r="E1269" s="98"/>
      <c r="F1269" s="99"/>
      <c r="G1269" s="100"/>
      <c r="H1269" s="100"/>
    </row>
    <row r="1270" customHeight="1" spans="2:8">
      <c r="B1270" s="98"/>
      <c r="C1270" s="98"/>
      <c r="D1270" s="98"/>
      <c r="E1270" s="98"/>
      <c r="F1270" s="99"/>
      <c r="G1270" s="100"/>
      <c r="H1270" s="100"/>
    </row>
    <row r="1271" customHeight="1" spans="2:8">
      <c r="B1271" s="98"/>
      <c r="C1271" s="98"/>
      <c r="D1271" s="98"/>
      <c r="E1271" s="98"/>
      <c r="F1271" s="99"/>
      <c r="G1271" s="100"/>
      <c r="H1271" s="100"/>
    </row>
    <row r="1272" customHeight="1" spans="2:8">
      <c r="B1272" s="98"/>
      <c r="C1272" s="98"/>
      <c r="D1272" s="98"/>
      <c r="E1272" s="98"/>
      <c r="F1272" s="99"/>
      <c r="G1272" s="100"/>
      <c r="H1272" s="100"/>
    </row>
    <row r="1273" customHeight="1" spans="2:8">
      <c r="B1273" s="98"/>
      <c r="C1273" s="98"/>
      <c r="D1273" s="98"/>
      <c r="E1273" s="98"/>
      <c r="F1273" s="99"/>
      <c r="G1273" s="100"/>
      <c r="H1273" s="100"/>
    </row>
    <row r="1274" customHeight="1" spans="2:8">
      <c r="B1274" s="98"/>
      <c r="C1274" s="98"/>
      <c r="D1274" s="98"/>
      <c r="E1274" s="98"/>
      <c r="F1274" s="99"/>
      <c r="G1274" s="100"/>
      <c r="H1274" s="100"/>
    </row>
    <row r="1275" customHeight="1" spans="2:8">
      <c r="B1275" s="98"/>
      <c r="C1275" s="98"/>
      <c r="D1275" s="98"/>
      <c r="E1275" s="98"/>
      <c r="F1275" s="99"/>
      <c r="G1275" s="100"/>
      <c r="H1275" s="100"/>
    </row>
    <row r="1276" customHeight="1" spans="2:8">
      <c r="B1276" s="98"/>
      <c r="C1276" s="98"/>
      <c r="D1276" s="98"/>
      <c r="E1276" s="98"/>
      <c r="F1276" s="99"/>
      <c r="G1276" s="100"/>
      <c r="H1276" s="100"/>
    </row>
    <row r="1277" customHeight="1" spans="2:8">
      <c r="B1277" s="98"/>
      <c r="C1277" s="98"/>
      <c r="D1277" s="98"/>
      <c r="E1277" s="98"/>
      <c r="F1277" s="99"/>
      <c r="G1277" s="100"/>
      <c r="H1277" s="100"/>
    </row>
    <row r="1278" customHeight="1" spans="2:8">
      <c r="B1278" s="98"/>
      <c r="C1278" s="98"/>
      <c r="D1278" s="98"/>
      <c r="E1278" s="98"/>
      <c r="F1278" s="99"/>
      <c r="G1278" s="100"/>
      <c r="H1278" s="100"/>
    </row>
    <row r="1279" customHeight="1" spans="2:8">
      <c r="B1279" s="98"/>
      <c r="C1279" s="98"/>
      <c r="D1279" s="98"/>
      <c r="E1279" s="98"/>
      <c r="F1279" s="99"/>
      <c r="G1279" s="100"/>
      <c r="H1279" s="100"/>
    </row>
    <row r="1280" customHeight="1" spans="2:8">
      <c r="B1280" s="98"/>
      <c r="C1280" s="98"/>
      <c r="D1280" s="98"/>
      <c r="E1280" s="98"/>
      <c r="F1280" s="99"/>
      <c r="G1280" s="100"/>
      <c r="H1280" s="100"/>
    </row>
    <row r="1281" customHeight="1" spans="2:8">
      <c r="B1281" s="98"/>
      <c r="C1281" s="98"/>
      <c r="D1281" s="98"/>
      <c r="E1281" s="98"/>
      <c r="F1281" s="99"/>
      <c r="G1281" s="100"/>
      <c r="H1281" s="100"/>
    </row>
    <row r="1282" customHeight="1" spans="2:8">
      <c r="B1282" s="98"/>
      <c r="C1282" s="98"/>
      <c r="D1282" s="98"/>
      <c r="E1282" s="98"/>
      <c r="F1282" s="99"/>
      <c r="G1282" s="100"/>
      <c r="H1282" s="100"/>
    </row>
    <row r="1283" customHeight="1" spans="2:8">
      <c r="B1283" s="98"/>
      <c r="C1283" s="98"/>
      <c r="D1283" s="98"/>
      <c r="E1283" s="98"/>
      <c r="F1283" s="99"/>
      <c r="G1283" s="100"/>
      <c r="H1283" s="100"/>
    </row>
    <row r="1284" customHeight="1" spans="2:8">
      <c r="B1284" s="98"/>
      <c r="C1284" s="98"/>
      <c r="D1284" s="98"/>
      <c r="E1284" s="98"/>
      <c r="F1284" s="99"/>
      <c r="G1284" s="100"/>
      <c r="H1284" s="100"/>
    </row>
    <row r="1285" customHeight="1" spans="2:8">
      <c r="B1285" s="98"/>
      <c r="C1285" s="98"/>
      <c r="D1285" s="98"/>
      <c r="E1285" s="98"/>
      <c r="F1285" s="99"/>
      <c r="G1285" s="100"/>
      <c r="H1285" s="100"/>
    </row>
    <row r="1286" customHeight="1" spans="2:8">
      <c r="B1286" s="98"/>
      <c r="C1286" s="98"/>
      <c r="D1286" s="98"/>
      <c r="E1286" s="98"/>
      <c r="F1286" s="99"/>
      <c r="G1286" s="100"/>
      <c r="H1286" s="100"/>
    </row>
    <row r="1287" customHeight="1" spans="2:8">
      <c r="B1287" s="98"/>
      <c r="C1287" s="98"/>
      <c r="D1287" s="98"/>
      <c r="E1287" s="98"/>
      <c r="F1287" s="99"/>
      <c r="G1287" s="100"/>
      <c r="H1287" s="100"/>
    </row>
    <row r="1288" customHeight="1" spans="2:8">
      <c r="B1288" s="98"/>
      <c r="C1288" s="98"/>
      <c r="D1288" s="98"/>
      <c r="E1288" s="98"/>
      <c r="F1288" s="99"/>
      <c r="G1288" s="100"/>
      <c r="H1288" s="100"/>
    </row>
    <row r="1289" customHeight="1" spans="2:8">
      <c r="B1289" s="98"/>
      <c r="C1289" s="98"/>
      <c r="D1289" s="98"/>
      <c r="E1289" s="98"/>
      <c r="F1289" s="99"/>
      <c r="G1289" s="100"/>
      <c r="H1289" s="100"/>
    </row>
    <row r="1290" customHeight="1" spans="2:8">
      <c r="B1290" s="98"/>
      <c r="C1290" s="98"/>
      <c r="D1290" s="98"/>
      <c r="E1290" s="98"/>
      <c r="F1290" s="99"/>
      <c r="G1290" s="100"/>
      <c r="H1290" s="100"/>
    </row>
    <row r="1291" customHeight="1" spans="2:8">
      <c r="B1291" s="98"/>
      <c r="C1291" s="98"/>
      <c r="D1291" s="98"/>
      <c r="E1291" s="98"/>
      <c r="F1291" s="99"/>
      <c r="G1291" s="100"/>
      <c r="H1291" s="100"/>
    </row>
    <row r="1292" customHeight="1" spans="2:8">
      <c r="B1292" s="98"/>
      <c r="C1292" s="98"/>
      <c r="D1292" s="98"/>
      <c r="E1292" s="98"/>
      <c r="F1292" s="99"/>
      <c r="G1292" s="100"/>
      <c r="H1292" s="100"/>
    </row>
    <row r="1293" customHeight="1" spans="2:8">
      <c r="B1293" s="98"/>
      <c r="C1293" s="98"/>
      <c r="D1293" s="98"/>
      <c r="E1293" s="98"/>
      <c r="F1293" s="99"/>
      <c r="G1293" s="100"/>
      <c r="H1293" s="100"/>
    </row>
    <row r="1294" customHeight="1" spans="2:8">
      <c r="B1294" s="98"/>
      <c r="C1294" s="98"/>
      <c r="D1294" s="98"/>
      <c r="E1294" s="98"/>
      <c r="F1294" s="99"/>
      <c r="G1294" s="100"/>
      <c r="H1294" s="100"/>
    </row>
    <row r="1295" customHeight="1" spans="2:8">
      <c r="B1295" s="98"/>
      <c r="C1295" s="98"/>
      <c r="D1295" s="98"/>
      <c r="E1295" s="98"/>
      <c r="F1295" s="99"/>
      <c r="G1295" s="100"/>
      <c r="H1295" s="100"/>
    </row>
    <row r="1296" customHeight="1" spans="2:8">
      <c r="B1296" s="98"/>
      <c r="C1296" s="98"/>
      <c r="D1296" s="98"/>
      <c r="E1296" s="98"/>
      <c r="F1296" s="99"/>
      <c r="G1296" s="100"/>
      <c r="H1296" s="100"/>
    </row>
    <row r="1297" customHeight="1" spans="2:8">
      <c r="B1297" s="98"/>
      <c r="C1297" s="98"/>
      <c r="D1297" s="98"/>
      <c r="E1297" s="98"/>
      <c r="F1297" s="99"/>
      <c r="G1297" s="100"/>
      <c r="H1297" s="100"/>
    </row>
    <row r="1298" customHeight="1" spans="2:8">
      <c r="B1298" s="98"/>
      <c r="C1298" s="98"/>
      <c r="D1298" s="98"/>
      <c r="E1298" s="98"/>
      <c r="F1298" s="99"/>
      <c r="G1298" s="100"/>
      <c r="H1298" s="100"/>
    </row>
    <row r="1299" customHeight="1" spans="2:8">
      <c r="B1299" s="98"/>
      <c r="C1299" s="98"/>
      <c r="D1299" s="98"/>
      <c r="E1299" s="98"/>
      <c r="F1299" s="99"/>
      <c r="G1299" s="100"/>
      <c r="H1299" s="100"/>
    </row>
    <row r="1300" customHeight="1" spans="2:8">
      <c r="B1300" s="98"/>
      <c r="C1300" s="98"/>
      <c r="D1300" s="98"/>
      <c r="E1300" s="98"/>
      <c r="F1300" s="99"/>
      <c r="G1300" s="100"/>
      <c r="H1300" s="100"/>
    </row>
    <row r="1301" customHeight="1" spans="2:8">
      <c r="B1301" s="98"/>
      <c r="C1301" s="98"/>
      <c r="D1301" s="98"/>
      <c r="E1301" s="98"/>
      <c r="F1301" s="99"/>
      <c r="G1301" s="100"/>
      <c r="H1301" s="100"/>
    </row>
    <row r="1302" customHeight="1" spans="2:8">
      <c r="B1302" s="98"/>
      <c r="C1302" s="98"/>
      <c r="D1302" s="98"/>
      <c r="E1302" s="98"/>
      <c r="F1302" s="99"/>
      <c r="G1302" s="100"/>
      <c r="H1302" s="100"/>
    </row>
    <row r="1303" customHeight="1" spans="2:8">
      <c r="B1303" s="98"/>
      <c r="C1303" s="98"/>
      <c r="D1303" s="98"/>
      <c r="E1303" s="98"/>
      <c r="F1303" s="99"/>
      <c r="G1303" s="100"/>
      <c r="H1303" s="100"/>
    </row>
    <row r="1304" customHeight="1" spans="2:8">
      <c r="B1304" s="98"/>
      <c r="C1304" s="98"/>
      <c r="D1304" s="98"/>
      <c r="E1304" s="98"/>
      <c r="F1304" s="99"/>
      <c r="G1304" s="100"/>
      <c r="H1304" s="100"/>
    </row>
    <row r="1305" customHeight="1" spans="2:8">
      <c r="B1305" s="98"/>
      <c r="C1305" s="98"/>
      <c r="D1305" s="98"/>
      <c r="E1305" s="98"/>
      <c r="F1305" s="99"/>
      <c r="G1305" s="100"/>
      <c r="H1305" s="100"/>
    </row>
    <row r="1306" customHeight="1" spans="2:8">
      <c r="B1306" s="98"/>
      <c r="C1306" s="98"/>
      <c r="D1306" s="98"/>
      <c r="E1306" s="98"/>
      <c r="F1306" s="99"/>
      <c r="G1306" s="100"/>
      <c r="H1306" s="100"/>
    </row>
    <row r="1307" customHeight="1" spans="2:8">
      <c r="B1307" s="98"/>
      <c r="C1307" s="98"/>
      <c r="D1307" s="98"/>
      <c r="E1307" s="98"/>
      <c r="F1307" s="99"/>
      <c r="G1307" s="100"/>
      <c r="H1307" s="100"/>
    </row>
    <row r="1308" customHeight="1" spans="2:8">
      <c r="B1308" s="98"/>
      <c r="C1308" s="98"/>
      <c r="D1308" s="98"/>
      <c r="E1308" s="98"/>
      <c r="F1308" s="99"/>
      <c r="G1308" s="100"/>
      <c r="H1308" s="100"/>
    </row>
    <row r="1309" customHeight="1" spans="2:8">
      <c r="B1309" s="98"/>
      <c r="C1309" s="98"/>
      <c r="D1309" s="98"/>
      <c r="E1309" s="98"/>
      <c r="F1309" s="99"/>
      <c r="G1309" s="100"/>
      <c r="H1309" s="100"/>
    </row>
    <row r="1310" customHeight="1" spans="2:8">
      <c r="B1310" s="98"/>
      <c r="C1310" s="98"/>
      <c r="D1310" s="98"/>
      <c r="E1310" s="98"/>
      <c r="F1310" s="99"/>
      <c r="G1310" s="100"/>
      <c r="H1310" s="100"/>
    </row>
    <row r="1311" customHeight="1" spans="2:8">
      <c r="B1311" s="98"/>
      <c r="C1311" s="98"/>
      <c r="D1311" s="98"/>
      <c r="E1311" s="98"/>
      <c r="F1311" s="99"/>
      <c r="G1311" s="100"/>
      <c r="H1311" s="100"/>
    </row>
    <row r="1312" customHeight="1" spans="2:8">
      <c r="B1312" s="98"/>
      <c r="C1312" s="98"/>
      <c r="D1312" s="98"/>
      <c r="E1312" s="98"/>
      <c r="F1312" s="99"/>
      <c r="G1312" s="100"/>
      <c r="H1312" s="100"/>
    </row>
    <row r="1313" customHeight="1" spans="2:8">
      <c r="B1313" s="98"/>
      <c r="C1313" s="98"/>
      <c r="D1313" s="98"/>
      <c r="E1313" s="98"/>
      <c r="F1313" s="99"/>
      <c r="G1313" s="100"/>
      <c r="H1313" s="100"/>
    </row>
    <row r="1314" customHeight="1" spans="2:8">
      <c r="B1314" s="98"/>
      <c r="C1314" s="98"/>
      <c r="D1314" s="98"/>
      <c r="E1314" s="98"/>
      <c r="F1314" s="99"/>
      <c r="G1314" s="100"/>
      <c r="H1314" s="100"/>
    </row>
    <row r="1315" customHeight="1" spans="2:8">
      <c r="B1315" s="98"/>
      <c r="C1315" s="98"/>
      <c r="D1315" s="98"/>
      <c r="E1315" s="98"/>
      <c r="F1315" s="99"/>
      <c r="G1315" s="100"/>
      <c r="H1315" s="100"/>
    </row>
    <row r="1316" customHeight="1" spans="2:8">
      <c r="B1316" s="98"/>
      <c r="C1316" s="98"/>
      <c r="D1316" s="98"/>
      <c r="E1316" s="98"/>
      <c r="F1316" s="99"/>
      <c r="G1316" s="100"/>
      <c r="H1316" s="100"/>
    </row>
    <row r="1317" customHeight="1" spans="2:8">
      <c r="B1317" s="98"/>
      <c r="C1317" s="98"/>
      <c r="D1317" s="98"/>
      <c r="E1317" s="98"/>
      <c r="F1317" s="99"/>
      <c r="G1317" s="100"/>
      <c r="H1317" s="100"/>
    </row>
    <row r="1318" customHeight="1" spans="2:8">
      <c r="B1318" s="98"/>
      <c r="C1318" s="98"/>
      <c r="D1318" s="98"/>
      <c r="E1318" s="98"/>
      <c r="F1318" s="99"/>
      <c r="G1318" s="100"/>
      <c r="H1318" s="100"/>
    </row>
    <row r="1319" customHeight="1" spans="2:8">
      <c r="B1319" s="98"/>
      <c r="C1319" s="98"/>
      <c r="D1319" s="98"/>
      <c r="E1319" s="98"/>
      <c r="F1319" s="99"/>
      <c r="G1319" s="100"/>
      <c r="H1319" s="100"/>
    </row>
    <row r="1320" customHeight="1" spans="2:8">
      <c r="B1320" s="98"/>
      <c r="C1320" s="98"/>
      <c r="D1320" s="98"/>
      <c r="E1320" s="98"/>
      <c r="F1320" s="99"/>
      <c r="G1320" s="100"/>
      <c r="H1320" s="100"/>
    </row>
    <row r="1321" customHeight="1" spans="2:8">
      <c r="B1321" s="98"/>
      <c r="C1321" s="98"/>
      <c r="D1321" s="98"/>
      <c r="E1321" s="98"/>
      <c r="F1321" s="99"/>
      <c r="G1321" s="100"/>
      <c r="H1321" s="100"/>
    </row>
    <row r="1322" customHeight="1" spans="2:8">
      <c r="B1322" s="98"/>
      <c r="C1322" s="98"/>
      <c r="D1322" s="98"/>
      <c r="E1322" s="98"/>
      <c r="F1322" s="99"/>
      <c r="G1322" s="100"/>
      <c r="H1322" s="100"/>
    </row>
    <row r="1323" customHeight="1" spans="2:8">
      <c r="B1323" s="98"/>
      <c r="C1323" s="98"/>
      <c r="D1323" s="98"/>
      <c r="E1323" s="98"/>
      <c r="F1323" s="99"/>
      <c r="G1323" s="100"/>
      <c r="H1323" s="100"/>
    </row>
    <row r="1324" customHeight="1" spans="2:8">
      <c r="B1324" s="98"/>
      <c r="C1324" s="98"/>
      <c r="D1324" s="98"/>
      <c r="E1324" s="98"/>
      <c r="F1324" s="99"/>
      <c r="G1324" s="100"/>
      <c r="H1324" s="100"/>
    </row>
    <row r="1325" customHeight="1" spans="2:8">
      <c r="B1325" s="98"/>
      <c r="C1325" s="98"/>
      <c r="D1325" s="98"/>
      <c r="E1325" s="98"/>
      <c r="F1325" s="99"/>
      <c r="G1325" s="100"/>
      <c r="H1325" s="100"/>
    </row>
    <row r="1326" customHeight="1" spans="2:8">
      <c r="B1326" s="98"/>
      <c r="C1326" s="98"/>
      <c r="D1326" s="98"/>
      <c r="E1326" s="98"/>
      <c r="F1326" s="99"/>
      <c r="G1326" s="100"/>
      <c r="H1326" s="100"/>
    </row>
    <row r="1327" customHeight="1" spans="2:8">
      <c r="B1327" s="98"/>
      <c r="C1327" s="98"/>
      <c r="D1327" s="98"/>
      <c r="E1327" s="98"/>
      <c r="F1327" s="99"/>
      <c r="G1327" s="100"/>
      <c r="H1327" s="100"/>
    </row>
    <row r="1328" customHeight="1" spans="2:8">
      <c r="B1328" s="98"/>
      <c r="C1328" s="98"/>
      <c r="D1328" s="98"/>
      <c r="E1328" s="98"/>
      <c r="F1328" s="99"/>
      <c r="G1328" s="100"/>
      <c r="H1328" s="100"/>
    </row>
    <row r="1329" customHeight="1" spans="2:8">
      <c r="B1329" s="98"/>
      <c r="C1329" s="98"/>
      <c r="D1329" s="98"/>
      <c r="E1329" s="98"/>
      <c r="F1329" s="99"/>
      <c r="G1329" s="100"/>
      <c r="H1329" s="100"/>
    </row>
    <row r="1330" customHeight="1" spans="2:8">
      <c r="B1330" s="98"/>
      <c r="C1330" s="98"/>
      <c r="D1330" s="98"/>
      <c r="E1330" s="98"/>
      <c r="F1330" s="99"/>
      <c r="G1330" s="100"/>
      <c r="H1330" s="100"/>
    </row>
    <row r="1331" customHeight="1" spans="2:8">
      <c r="B1331" s="98"/>
      <c r="C1331" s="98"/>
      <c r="D1331" s="98"/>
      <c r="E1331" s="98"/>
      <c r="F1331" s="99"/>
      <c r="G1331" s="100"/>
      <c r="H1331" s="100"/>
    </row>
    <row r="1332" customHeight="1" spans="2:8">
      <c r="B1332" s="98"/>
      <c r="C1332" s="98"/>
      <c r="D1332" s="98"/>
      <c r="E1332" s="98"/>
      <c r="F1332" s="99"/>
      <c r="G1332" s="100"/>
      <c r="H1332" s="100"/>
    </row>
    <row r="1333" customHeight="1" spans="2:8">
      <c r="B1333" s="98"/>
      <c r="C1333" s="98"/>
      <c r="D1333" s="98"/>
      <c r="E1333" s="98"/>
      <c r="F1333" s="99"/>
      <c r="G1333" s="100"/>
      <c r="H1333" s="100"/>
    </row>
    <row r="1334" customHeight="1" spans="2:8">
      <c r="B1334" s="98"/>
      <c r="C1334" s="98"/>
      <c r="D1334" s="98"/>
      <c r="E1334" s="98"/>
      <c r="F1334" s="99"/>
      <c r="G1334" s="100"/>
      <c r="H1334" s="100"/>
    </row>
    <row r="1335" customHeight="1" spans="2:8">
      <c r="B1335" s="98"/>
      <c r="C1335" s="98"/>
      <c r="D1335" s="98"/>
      <c r="E1335" s="98"/>
      <c r="F1335" s="99"/>
      <c r="G1335" s="100"/>
      <c r="H1335" s="100"/>
    </row>
    <row r="1336" customHeight="1" spans="2:8">
      <c r="B1336" s="98"/>
      <c r="C1336" s="98"/>
      <c r="D1336" s="98"/>
      <c r="E1336" s="98"/>
      <c r="F1336" s="99"/>
      <c r="G1336" s="100"/>
      <c r="H1336" s="100"/>
    </row>
    <row r="1337" customHeight="1" spans="2:8">
      <c r="B1337" s="98"/>
      <c r="C1337" s="98"/>
      <c r="D1337" s="98"/>
      <c r="E1337" s="98"/>
      <c r="F1337" s="99"/>
      <c r="G1337" s="100"/>
      <c r="H1337" s="100"/>
    </row>
    <row r="1338" customHeight="1" spans="2:8">
      <c r="B1338" s="98"/>
      <c r="C1338" s="98"/>
      <c r="D1338" s="98"/>
      <c r="E1338" s="98"/>
      <c r="F1338" s="99"/>
      <c r="G1338" s="100"/>
      <c r="H1338" s="100"/>
    </row>
    <row r="1339" customHeight="1" spans="2:8">
      <c r="B1339" s="98"/>
      <c r="C1339" s="98"/>
      <c r="D1339" s="98"/>
      <c r="E1339" s="98"/>
      <c r="F1339" s="99"/>
      <c r="G1339" s="100"/>
      <c r="H1339" s="100"/>
    </row>
    <row r="1340" customHeight="1" spans="2:8">
      <c r="B1340" s="98"/>
      <c r="C1340" s="98"/>
      <c r="D1340" s="98"/>
      <c r="E1340" s="98"/>
      <c r="F1340" s="99"/>
      <c r="G1340" s="100"/>
      <c r="H1340" s="100"/>
    </row>
    <row r="1341" customHeight="1" spans="2:8">
      <c r="B1341" s="98"/>
      <c r="C1341" s="98"/>
      <c r="D1341" s="98"/>
      <c r="E1341" s="98"/>
      <c r="F1341" s="99"/>
      <c r="G1341" s="100"/>
      <c r="H1341" s="100"/>
    </row>
    <row r="1342" customHeight="1" spans="2:8">
      <c r="B1342" s="98"/>
      <c r="C1342" s="98"/>
      <c r="D1342" s="98"/>
      <c r="E1342" s="98"/>
      <c r="F1342" s="99"/>
      <c r="G1342" s="100"/>
      <c r="H1342" s="100"/>
    </row>
    <row r="1343" customHeight="1" spans="2:8">
      <c r="B1343" s="98"/>
      <c r="C1343" s="98"/>
      <c r="D1343" s="98"/>
      <c r="E1343" s="98"/>
      <c r="F1343" s="99"/>
      <c r="G1343" s="100"/>
      <c r="H1343" s="100"/>
    </row>
    <row r="1344" customHeight="1" spans="2:8">
      <c r="B1344" s="98"/>
      <c r="C1344" s="98"/>
      <c r="D1344" s="98"/>
      <c r="E1344" s="98"/>
      <c r="F1344" s="99"/>
      <c r="G1344" s="100"/>
      <c r="H1344" s="100"/>
    </row>
    <row r="1345" customHeight="1" spans="2:8">
      <c r="B1345" s="98"/>
      <c r="C1345" s="98"/>
      <c r="D1345" s="98"/>
      <c r="E1345" s="98"/>
      <c r="F1345" s="99"/>
      <c r="G1345" s="100"/>
      <c r="H1345" s="100"/>
    </row>
    <row r="1346" customHeight="1" spans="2:8">
      <c r="B1346" s="98"/>
      <c r="C1346" s="98"/>
      <c r="D1346" s="98"/>
      <c r="E1346" s="98"/>
      <c r="F1346" s="99"/>
      <c r="G1346" s="100"/>
      <c r="H1346" s="100"/>
    </row>
    <row r="1347" customHeight="1" spans="2:8">
      <c r="B1347" s="98"/>
      <c r="C1347" s="98"/>
      <c r="D1347" s="98"/>
      <c r="E1347" s="98"/>
      <c r="F1347" s="99"/>
      <c r="G1347" s="100"/>
      <c r="H1347" s="100"/>
    </row>
    <row r="1348" customHeight="1" spans="2:8">
      <c r="B1348" s="98"/>
      <c r="C1348" s="98"/>
      <c r="D1348" s="98"/>
      <c r="E1348" s="98"/>
      <c r="F1348" s="99"/>
      <c r="G1348" s="100"/>
      <c r="H1348" s="100"/>
    </row>
    <row r="1349" customHeight="1" spans="2:8">
      <c r="B1349" s="98"/>
      <c r="C1349" s="98"/>
      <c r="D1349" s="98"/>
      <c r="E1349" s="98"/>
      <c r="F1349" s="99"/>
      <c r="G1349" s="100"/>
      <c r="H1349" s="100"/>
    </row>
    <row r="1350" customHeight="1" spans="2:8">
      <c r="B1350" s="98"/>
      <c r="C1350" s="98"/>
      <c r="D1350" s="98"/>
      <c r="E1350" s="98"/>
      <c r="F1350" s="99"/>
      <c r="G1350" s="100"/>
      <c r="H1350" s="100"/>
    </row>
    <row r="1351" customHeight="1" spans="2:8">
      <c r="B1351" s="98"/>
      <c r="C1351" s="98"/>
      <c r="D1351" s="98"/>
      <c r="E1351" s="98"/>
      <c r="F1351" s="99"/>
      <c r="G1351" s="100"/>
      <c r="H1351" s="100"/>
    </row>
    <row r="1352" customHeight="1" spans="2:8">
      <c r="B1352" s="98"/>
      <c r="C1352" s="98"/>
      <c r="D1352" s="98"/>
      <c r="E1352" s="98"/>
      <c r="F1352" s="99"/>
      <c r="G1352" s="100"/>
      <c r="H1352" s="100"/>
    </row>
    <row r="1353" customHeight="1" spans="2:8">
      <c r="B1353" s="98"/>
      <c r="C1353" s="98"/>
      <c r="D1353" s="98"/>
      <c r="E1353" s="98"/>
      <c r="F1353" s="99"/>
      <c r="G1353" s="100"/>
      <c r="H1353" s="100"/>
    </row>
    <row r="1354" customHeight="1" spans="2:8">
      <c r="B1354" s="98"/>
      <c r="C1354" s="98"/>
      <c r="D1354" s="98"/>
      <c r="E1354" s="98"/>
      <c r="F1354" s="99"/>
      <c r="G1354" s="100"/>
      <c r="H1354" s="100"/>
    </row>
    <row r="1355" customHeight="1" spans="2:8">
      <c r="B1355" s="98"/>
      <c r="C1355" s="98"/>
      <c r="D1355" s="98"/>
      <c r="E1355" s="98"/>
      <c r="F1355" s="99"/>
      <c r="G1355" s="100"/>
      <c r="H1355" s="100"/>
    </row>
    <row r="1356" customHeight="1" spans="2:8">
      <c r="B1356" s="98"/>
      <c r="C1356" s="98"/>
      <c r="D1356" s="98"/>
      <c r="E1356" s="98"/>
      <c r="F1356" s="99"/>
      <c r="G1356" s="100"/>
      <c r="H1356" s="100"/>
    </row>
    <row r="1357" customHeight="1" spans="2:8">
      <c r="B1357" s="98"/>
      <c r="C1357" s="98"/>
      <c r="D1357" s="98"/>
      <c r="E1357" s="98"/>
      <c r="F1357" s="99"/>
      <c r="G1357" s="100"/>
      <c r="H1357" s="100"/>
    </row>
    <row r="1358" customHeight="1" spans="2:8">
      <c r="B1358" s="98"/>
      <c r="C1358" s="98"/>
      <c r="D1358" s="98"/>
      <c r="E1358" s="98"/>
      <c r="F1358" s="99"/>
      <c r="G1358" s="100"/>
      <c r="H1358" s="100"/>
    </row>
    <row r="1359" customHeight="1" spans="2:8">
      <c r="B1359" s="98"/>
      <c r="C1359" s="98"/>
      <c r="D1359" s="98"/>
      <c r="E1359" s="98"/>
      <c r="F1359" s="99"/>
      <c r="G1359" s="100"/>
      <c r="H1359" s="100"/>
    </row>
    <row r="1360" customHeight="1" spans="2:8">
      <c r="B1360" s="98"/>
      <c r="C1360" s="98"/>
      <c r="D1360" s="98"/>
      <c r="E1360" s="98"/>
      <c r="F1360" s="99"/>
      <c r="G1360" s="100"/>
      <c r="H1360" s="100"/>
    </row>
    <row r="1361" customHeight="1" spans="2:8">
      <c r="B1361" s="98"/>
      <c r="C1361" s="98"/>
      <c r="D1361" s="98"/>
      <c r="E1361" s="98"/>
      <c r="F1361" s="99"/>
      <c r="G1361" s="100"/>
      <c r="H1361" s="100"/>
    </row>
    <row r="1362" customHeight="1" spans="2:8">
      <c r="B1362" s="98"/>
      <c r="C1362" s="98"/>
      <c r="D1362" s="98"/>
      <c r="E1362" s="98"/>
      <c r="F1362" s="99"/>
      <c r="G1362" s="100"/>
      <c r="H1362" s="100"/>
    </row>
    <row r="1363" customHeight="1" spans="2:8">
      <c r="B1363" s="98"/>
      <c r="C1363" s="98"/>
      <c r="D1363" s="98"/>
      <c r="E1363" s="98"/>
      <c r="F1363" s="99"/>
      <c r="G1363" s="100"/>
      <c r="H1363" s="100"/>
    </row>
    <row r="1364" customHeight="1" spans="2:8">
      <c r="B1364" s="98"/>
      <c r="C1364" s="98"/>
      <c r="D1364" s="98"/>
      <c r="E1364" s="98"/>
      <c r="F1364" s="99"/>
      <c r="G1364" s="100"/>
      <c r="H1364" s="100"/>
    </row>
    <row r="1365" customHeight="1" spans="2:8">
      <c r="B1365" s="98"/>
      <c r="C1365" s="98"/>
      <c r="D1365" s="98"/>
      <c r="E1365" s="98"/>
      <c r="F1365" s="99"/>
      <c r="G1365" s="100"/>
      <c r="H1365" s="100"/>
    </row>
    <row r="1366" customHeight="1" spans="2:8">
      <c r="B1366" s="98"/>
      <c r="C1366" s="98"/>
      <c r="D1366" s="98"/>
      <c r="E1366" s="98"/>
      <c r="F1366" s="99"/>
      <c r="G1366" s="100"/>
      <c r="H1366" s="100"/>
    </row>
    <row r="1367" customHeight="1" spans="2:8">
      <c r="B1367" s="98"/>
      <c r="C1367" s="98"/>
      <c r="D1367" s="98"/>
      <c r="E1367" s="98"/>
      <c r="F1367" s="99"/>
      <c r="G1367" s="100"/>
      <c r="H1367" s="100"/>
    </row>
    <row r="1368" customHeight="1" spans="2:8">
      <c r="B1368" s="98"/>
      <c r="C1368" s="98"/>
      <c r="D1368" s="98"/>
      <c r="E1368" s="98"/>
      <c r="F1368" s="99"/>
      <c r="G1368" s="100"/>
      <c r="H1368" s="100"/>
    </row>
    <row r="1369" customHeight="1" spans="2:8">
      <c r="B1369" s="98"/>
      <c r="C1369" s="98"/>
      <c r="D1369" s="98"/>
      <c r="E1369" s="98"/>
      <c r="F1369" s="99"/>
      <c r="G1369" s="100"/>
      <c r="H1369" s="100"/>
    </row>
    <row r="1370" customHeight="1" spans="2:8">
      <c r="B1370" s="98"/>
      <c r="C1370" s="98"/>
      <c r="D1370" s="98"/>
      <c r="E1370" s="98"/>
      <c r="F1370" s="99"/>
      <c r="G1370" s="100"/>
      <c r="H1370" s="100"/>
    </row>
    <row r="1371" customHeight="1" spans="2:8">
      <c r="B1371" s="98"/>
      <c r="C1371" s="98"/>
      <c r="D1371" s="98"/>
      <c r="E1371" s="98"/>
      <c r="F1371" s="99"/>
      <c r="G1371" s="100"/>
      <c r="H1371" s="100"/>
    </row>
    <row r="1372" customHeight="1" spans="2:8">
      <c r="B1372" s="98"/>
      <c r="C1372" s="98"/>
      <c r="D1372" s="98"/>
      <c r="E1372" s="98"/>
      <c r="F1372" s="99"/>
      <c r="G1372" s="100"/>
      <c r="H1372" s="100"/>
    </row>
    <row r="1373" customHeight="1" spans="2:8">
      <c r="B1373" s="98"/>
      <c r="C1373" s="98"/>
      <c r="D1373" s="98"/>
      <c r="E1373" s="98"/>
      <c r="F1373" s="99"/>
      <c r="G1373" s="100"/>
      <c r="H1373" s="100"/>
    </row>
    <row r="1374" customHeight="1" spans="2:8">
      <c r="B1374" s="98"/>
      <c r="C1374" s="98"/>
      <c r="D1374" s="98"/>
      <c r="E1374" s="98"/>
      <c r="F1374" s="99"/>
      <c r="G1374" s="100"/>
      <c r="H1374" s="100"/>
    </row>
    <row r="1375" customHeight="1" spans="2:8">
      <c r="B1375" s="98"/>
      <c r="C1375" s="98"/>
      <c r="D1375" s="98"/>
      <c r="E1375" s="98"/>
      <c r="F1375" s="99"/>
      <c r="G1375" s="100"/>
      <c r="H1375" s="100"/>
    </row>
    <row r="1376" customHeight="1" spans="2:8">
      <c r="B1376" s="98"/>
      <c r="C1376" s="98"/>
      <c r="D1376" s="98"/>
      <c r="E1376" s="98"/>
      <c r="F1376" s="99"/>
      <c r="G1376" s="100"/>
      <c r="H1376" s="100"/>
    </row>
    <row r="1377" customHeight="1" spans="2:8">
      <c r="B1377" s="98"/>
      <c r="C1377" s="98"/>
      <c r="D1377" s="98"/>
      <c r="E1377" s="98"/>
      <c r="F1377" s="99"/>
      <c r="G1377" s="100"/>
      <c r="H1377" s="100"/>
    </row>
    <row r="1378" customHeight="1" spans="2:8">
      <c r="B1378" s="98"/>
      <c r="C1378" s="98"/>
      <c r="D1378" s="98"/>
      <c r="E1378" s="98"/>
      <c r="F1378" s="99"/>
      <c r="G1378" s="100"/>
      <c r="H1378" s="100"/>
    </row>
    <row r="1379" customHeight="1" spans="2:8">
      <c r="B1379" s="98"/>
      <c r="C1379" s="98"/>
      <c r="D1379" s="98"/>
      <c r="E1379" s="98"/>
      <c r="F1379" s="99"/>
      <c r="G1379" s="100"/>
      <c r="H1379" s="100"/>
    </row>
    <row r="1380" customHeight="1" spans="2:8">
      <c r="B1380" s="98"/>
      <c r="C1380" s="98"/>
      <c r="D1380" s="98"/>
      <c r="E1380" s="98"/>
      <c r="F1380" s="99"/>
      <c r="G1380" s="100"/>
      <c r="H1380" s="100"/>
    </row>
    <row r="1381" customHeight="1" spans="2:8">
      <c r="B1381" s="98"/>
      <c r="C1381" s="98"/>
      <c r="D1381" s="98"/>
      <c r="E1381" s="98"/>
      <c r="F1381" s="99"/>
      <c r="G1381" s="100"/>
      <c r="H1381" s="100"/>
    </row>
    <row r="1382" customHeight="1" spans="2:8">
      <c r="B1382" s="98"/>
      <c r="C1382" s="98"/>
      <c r="D1382" s="98"/>
      <c r="E1382" s="98"/>
      <c r="F1382" s="99"/>
      <c r="G1382" s="100"/>
      <c r="H1382" s="100"/>
    </row>
    <row r="1383" customHeight="1" spans="2:8">
      <c r="B1383" s="98"/>
      <c r="C1383" s="98"/>
      <c r="D1383" s="98"/>
      <c r="E1383" s="98"/>
      <c r="F1383" s="99"/>
      <c r="G1383" s="100"/>
      <c r="H1383" s="100"/>
    </row>
    <row r="1384" customHeight="1" spans="2:8">
      <c r="B1384" s="98"/>
      <c r="C1384" s="98"/>
      <c r="D1384" s="98"/>
      <c r="E1384" s="98"/>
      <c r="F1384" s="99"/>
      <c r="G1384" s="100"/>
      <c r="H1384" s="100"/>
    </row>
    <row r="1385" customHeight="1" spans="2:8">
      <c r="B1385" s="98"/>
      <c r="C1385" s="98"/>
      <c r="D1385" s="98"/>
      <c r="E1385" s="98"/>
      <c r="F1385" s="99"/>
      <c r="G1385" s="100"/>
      <c r="H1385" s="100"/>
    </row>
    <row r="1386" customHeight="1" spans="2:8">
      <c r="B1386" s="98"/>
      <c r="C1386" s="98"/>
      <c r="D1386" s="98"/>
      <c r="E1386" s="98"/>
      <c r="F1386" s="99"/>
      <c r="G1386" s="100"/>
      <c r="H1386" s="100"/>
    </row>
    <row r="1387" customHeight="1" spans="2:8">
      <c r="B1387" s="98"/>
      <c r="C1387" s="98"/>
      <c r="D1387" s="98"/>
      <c r="E1387" s="98"/>
      <c r="F1387" s="99"/>
      <c r="G1387" s="100"/>
      <c r="H1387" s="100"/>
    </row>
    <row r="1388" customHeight="1" spans="2:8">
      <c r="B1388" s="98"/>
      <c r="C1388" s="98"/>
      <c r="D1388" s="98"/>
      <c r="E1388" s="98"/>
      <c r="F1388" s="99"/>
      <c r="G1388" s="100"/>
      <c r="H1388" s="100"/>
    </row>
    <row r="1389" customHeight="1" spans="2:8">
      <c r="B1389" s="98"/>
      <c r="C1389" s="98"/>
      <c r="D1389" s="98"/>
      <c r="E1389" s="98"/>
      <c r="F1389" s="99"/>
      <c r="G1389" s="100"/>
      <c r="H1389" s="100"/>
    </row>
    <row r="1390" customHeight="1" spans="2:8">
      <c r="B1390" s="98"/>
      <c r="C1390" s="98"/>
      <c r="D1390" s="98"/>
      <c r="E1390" s="98"/>
      <c r="F1390" s="99"/>
      <c r="G1390" s="100"/>
      <c r="H1390" s="100"/>
    </row>
    <row r="1391" customHeight="1" spans="2:8">
      <c r="B1391" s="98"/>
      <c r="C1391" s="98"/>
      <c r="D1391" s="98"/>
      <c r="E1391" s="98"/>
      <c r="F1391" s="99"/>
      <c r="G1391" s="100"/>
      <c r="H1391" s="100"/>
    </row>
    <row r="1392" customHeight="1" spans="2:8">
      <c r="B1392" s="98"/>
      <c r="C1392" s="98"/>
      <c r="D1392" s="98"/>
      <c r="E1392" s="98"/>
      <c r="F1392" s="99"/>
      <c r="G1392" s="100"/>
      <c r="H1392" s="100"/>
    </row>
    <row r="1393" customHeight="1" spans="2:8">
      <c r="B1393" s="98"/>
      <c r="C1393" s="98"/>
      <c r="D1393" s="98"/>
      <c r="E1393" s="98"/>
      <c r="F1393" s="99"/>
      <c r="G1393" s="100"/>
      <c r="H1393" s="100"/>
    </row>
    <row r="1394" customHeight="1" spans="2:8">
      <c r="B1394" s="98"/>
      <c r="C1394" s="98"/>
      <c r="D1394" s="98"/>
      <c r="E1394" s="98"/>
      <c r="F1394" s="99"/>
      <c r="G1394" s="100"/>
      <c r="H1394" s="100"/>
    </row>
    <row r="1395" customHeight="1" spans="2:8">
      <c r="B1395" s="98"/>
      <c r="C1395" s="98"/>
      <c r="D1395" s="98"/>
      <c r="E1395" s="98"/>
      <c r="F1395" s="99"/>
      <c r="G1395" s="100"/>
      <c r="H1395" s="100"/>
    </row>
    <row r="1396" customHeight="1" spans="2:8">
      <c r="B1396" s="98"/>
      <c r="C1396" s="98"/>
      <c r="D1396" s="98"/>
      <c r="E1396" s="98"/>
      <c r="F1396" s="99"/>
      <c r="G1396" s="100"/>
      <c r="H1396" s="100"/>
    </row>
    <row r="1397" customHeight="1" spans="2:8">
      <c r="B1397" s="98"/>
      <c r="C1397" s="98"/>
      <c r="D1397" s="98"/>
      <c r="E1397" s="98"/>
      <c r="F1397" s="99"/>
      <c r="G1397" s="100"/>
      <c r="H1397" s="100"/>
    </row>
    <row r="1398" customHeight="1" spans="2:8">
      <c r="B1398" s="98"/>
      <c r="C1398" s="98"/>
      <c r="D1398" s="98"/>
      <c r="E1398" s="98"/>
      <c r="F1398" s="99"/>
      <c r="G1398" s="100"/>
      <c r="H1398" s="100"/>
    </row>
    <row r="1399" customHeight="1" spans="2:8">
      <c r="B1399" s="98"/>
      <c r="C1399" s="98"/>
      <c r="D1399" s="98"/>
      <c r="E1399" s="98"/>
      <c r="F1399" s="99"/>
      <c r="G1399" s="100"/>
      <c r="H1399" s="100"/>
    </row>
    <row r="1400" customHeight="1" spans="2:8">
      <c r="B1400" s="98"/>
      <c r="C1400" s="98"/>
      <c r="D1400" s="98"/>
      <c r="E1400" s="98"/>
      <c r="F1400" s="99"/>
      <c r="G1400" s="100"/>
      <c r="H1400" s="100"/>
    </row>
    <row r="1401" customHeight="1" spans="2:8">
      <c r="B1401" s="98"/>
      <c r="C1401" s="98"/>
      <c r="D1401" s="98"/>
      <c r="E1401" s="98"/>
      <c r="F1401" s="99"/>
      <c r="G1401" s="100"/>
      <c r="H1401" s="100"/>
    </row>
    <row r="1402" customHeight="1" spans="2:8">
      <c r="B1402" s="98"/>
      <c r="C1402" s="98"/>
      <c r="D1402" s="98"/>
      <c r="E1402" s="98"/>
      <c r="F1402" s="99"/>
      <c r="G1402" s="100"/>
      <c r="H1402" s="100"/>
    </row>
    <row r="1403" customHeight="1" spans="2:8">
      <c r="B1403" s="98"/>
      <c r="C1403" s="98"/>
      <c r="D1403" s="98"/>
      <c r="E1403" s="98"/>
      <c r="F1403" s="99"/>
      <c r="G1403" s="100"/>
      <c r="H1403" s="100"/>
    </row>
    <row r="1404" customHeight="1" spans="2:8">
      <c r="B1404" s="98"/>
      <c r="C1404" s="98"/>
      <c r="D1404" s="98"/>
      <c r="E1404" s="98"/>
      <c r="F1404" s="99"/>
      <c r="G1404" s="100"/>
      <c r="H1404" s="100"/>
    </row>
    <row r="1405" customHeight="1" spans="2:8">
      <c r="B1405" s="98"/>
      <c r="C1405" s="98"/>
      <c r="D1405" s="98"/>
      <c r="E1405" s="98"/>
      <c r="F1405" s="99"/>
      <c r="G1405" s="100"/>
      <c r="H1405" s="100"/>
    </row>
    <row r="1406" customHeight="1" spans="2:8">
      <c r="B1406" s="98"/>
      <c r="C1406" s="98"/>
      <c r="D1406" s="98"/>
      <c r="E1406" s="98"/>
      <c r="F1406" s="99"/>
      <c r="G1406" s="100"/>
      <c r="H1406" s="100"/>
    </row>
    <row r="1407" customHeight="1" spans="2:8">
      <c r="B1407" s="98"/>
      <c r="C1407" s="98"/>
      <c r="D1407" s="98"/>
      <c r="E1407" s="98"/>
      <c r="F1407" s="99"/>
      <c r="G1407" s="100"/>
      <c r="H1407" s="100"/>
    </row>
    <row r="1408" customHeight="1" spans="2:8">
      <c r="B1408" s="98"/>
      <c r="C1408" s="98"/>
      <c r="D1408" s="98"/>
      <c r="E1408" s="98"/>
      <c r="F1408" s="99"/>
      <c r="G1408" s="100"/>
      <c r="H1408" s="100"/>
    </row>
    <row r="1409" customHeight="1" spans="2:8">
      <c r="B1409" s="98"/>
      <c r="C1409" s="98"/>
      <c r="D1409" s="98"/>
      <c r="E1409" s="98"/>
      <c r="F1409" s="99"/>
      <c r="G1409" s="100"/>
      <c r="H1409" s="100"/>
    </row>
    <row r="1410" customHeight="1" spans="2:8">
      <c r="B1410" s="98"/>
      <c r="C1410" s="98"/>
      <c r="D1410" s="98"/>
      <c r="E1410" s="98"/>
      <c r="F1410" s="99"/>
      <c r="G1410" s="100"/>
      <c r="H1410" s="100"/>
    </row>
    <row r="1411" customHeight="1" spans="2:8">
      <c r="B1411" s="98"/>
      <c r="C1411" s="98"/>
      <c r="D1411" s="98"/>
      <c r="E1411" s="98"/>
      <c r="F1411" s="99"/>
      <c r="G1411" s="100"/>
      <c r="H1411" s="100"/>
    </row>
    <row r="1412" customHeight="1" spans="2:8">
      <c r="B1412" s="98"/>
      <c r="C1412" s="98"/>
      <c r="D1412" s="98"/>
      <c r="E1412" s="98"/>
      <c r="F1412" s="99"/>
      <c r="G1412" s="100"/>
      <c r="H1412" s="100"/>
    </row>
    <row r="1413" customHeight="1" spans="2:8">
      <c r="B1413" s="98"/>
      <c r="C1413" s="98"/>
      <c r="D1413" s="98"/>
      <c r="E1413" s="98"/>
      <c r="F1413" s="99"/>
      <c r="G1413" s="100"/>
      <c r="H1413" s="100"/>
    </row>
    <row r="1414" customHeight="1" spans="2:8">
      <c r="B1414" s="98"/>
      <c r="C1414" s="98"/>
      <c r="D1414" s="98"/>
      <c r="E1414" s="98"/>
      <c r="F1414" s="99"/>
      <c r="G1414" s="100"/>
      <c r="H1414" s="100"/>
    </row>
    <row r="1415" customHeight="1" spans="2:8">
      <c r="B1415" s="98"/>
      <c r="C1415" s="98"/>
      <c r="D1415" s="98"/>
      <c r="E1415" s="98"/>
      <c r="F1415" s="99"/>
      <c r="G1415" s="100"/>
      <c r="H1415" s="100"/>
    </row>
    <row r="1416" customHeight="1" spans="2:8">
      <c r="B1416" s="98"/>
      <c r="C1416" s="98"/>
      <c r="D1416" s="98"/>
      <c r="E1416" s="98"/>
      <c r="F1416" s="99"/>
      <c r="G1416" s="100"/>
      <c r="H1416" s="100"/>
    </row>
    <row r="1417" customHeight="1" spans="2:8">
      <c r="B1417" s="98"/>
      <c r="C1417" s="98"/>
      <c r="D1417" s="98"/>
      <c r="E1417" s="98"/>
      <c r="F1417" s="99"/>
      <c r="G1417" s="100"/>
      <c r="H1417" s="100"/>
    </row>
    <row r="1418" customHeight="1" spans="2:8">
      <c r="B1418" s="98"/>
      <c r="C1418" s="98"/>
      <c r="D1418" s="98"/>
      <c r="E1418" s="98"/>
      <c r="F1418" s="99"/>
      <c r="G1418" s="100"/>
      <c r="H1418" s="100"/>
    </row>
    <row r="1419" customHeight="1" spans="2:8">
      <c r="B1419" s="98"/>
      <c r="C1419" s="98"/>
      <c r="D1419" s="98"/>
      <c r="E1419" s="98"/>
      <c r="F1419" s="99"/>
      <c r="G1419" s="100"/>
      <c r="H1419" s="100"/>
    </row>
    <row r="1420" customHeight="1" spans="2:8">
      <c r="B1420" s="98"/>
      <c r="C1420" s="98"/>
      <c r="D1420" s="98"/>
      <c r="E1420" s="98"/>
      <c r="F1420" s="99"/>
      <c r="G1420" s="100"/>
      <c r="H1420" s="100"/>
    </row>
    <row r="1421" customHeight="1" spans="2:8">
      <c r="B1421" s="98"/>
      <c r="C1421" s="98"/>
      <c r="D1421" s="98"/>
      <c r="E1421" s="98"/>
      <c r="F1421" s="99"/>
      <c r="G1421" s="100"/>
      <c r="H1421" s="100"/>
    </row>
    <row r="1422" customHeight="1" spans="2:8">
      <c r="B1422" s="98"/>
      <c r="C1422" s="98"/>
      <c r="D1422" s="98"/>
      <c r="E1422" s="98"/>
      <c r="F1422" s="99"/>
      <c r="G1422" s="100"/>
      <c r="H1422" s="100"/>
    </row>
    <row r="1423" customHeight="1" spans="2:8">
      <c r="B1423" s="98"/>
      <c r="C1423" s="98"/>
      <c r="D1423" s="98"/>
      <c r="E1423" s="98"/>
      <c r="F1423" s="99"/>
      <c r="G1423" s="100"/>
      <c r="H1423" s="100"/>
    </row>
    <row r="1424" customHeight="1" spans="2:8">
      <c r="B1424" s="98"/>
      <c r="C1424" s="98"/>
      <c r="D1424" s="98"/>
      <c r="E1424" s="98"/>
      <c r="F1424" s="99"/>
      <c r="G1424" s="100"/>
      <c r="H1424" s="100"/>
    </row>
    <row r="1425" customHeight="1" spans="2:8">
      <c r="B1425" s="98"/>
      <c r="C1425" s="98"/>
      <c r="D1425" s="98"/>
      <c r="E1425" s="98"/>
      <c r="F1425" s="99"/>
      <c r="G1425" s="100"/>
      <c r="H1425" s="100"/>
    </row>
    <row r="1426" customHeight="1" spans="2:8">
      <c r="B1426" s="98"/>
      <c r="C1426" s="98"/>
      <c r="D1426" s="98"/>
      <c r="E1426" s="98"/>
      <c r="F1426" s="99"/>
      <c r="G1426" s="100"/>
      <c r="H1426" s="100"/>
    </row>
    <row r="1427" customHeight="1" spans="2:8">
      <c r="B1427" s="98"/>
      <c r="C1427" s="98"/>
      <c r="D1427" s="98"/>
      <c r="E1427" s="98"/>
      <c r="F1427" s="99"/>
      <c r="G1427" s="100"/>
      <c r="H1427" s="100"/>
    </row>
    <row r="1428" customHeight="1" spans="2:8">
      <c r="B1428" s="98"/>
      <c r="C1428" s="98"/>
      <c r="D1428" s="98"/>
      <c r="E1428" s="98"/>
      <c r="F1428" s="99"/>
      <c r="G1428" s="100"/>
      <c r="H1428" s="100"/>
    </row>
    <row r="1429" customHeight="1" spans="2:8">
      <c r="B1429" s="98"/>
      <c r="C1429" s="98"/>
      <c r="D1429" s="98"/>
      <c r="E1429" s="98"/>
      <c r="F1429" s="99"/>
      <c r="G1429" s="100"/>
      <c r="H1429" s="100"/>
    </row>
    <row r="1430" customHeight="1" spans="2:8">
      <c r="B1430" s="98"/>
      <c r="C1430" s="98"/>
      <c r="D1430" s="98"/>
      <c r="E1430" s="98"/>
      <c r="F1430" s="99"/>
      <c r="G1430" s="100"/>
      <c r="H1430" s="100"/>
    </row>
    <row r="1431" customHeight="1" spans="2:8">
      <c r="B1431" s="98"/>
      <c r="C1431" s="98"/>
      <c r="D1431" s="98"/>
      <c r="E1431" s="98"/>
      <c r="F1431" s="99"/>
      <c r="G1431" s="100"/>
      <c r="H1431" s="100"/>
    </row>
    <row r="1432" customHeight="1" spans="2:8">
      <c r="B1432" s="98"/>
      <c r="C1432" s="98"/>
      <c r="D1432" s="98"/>
      <c r="E1432" s="98"/>
      <c r="F1432" s="99"/>
      <c r="G1432" s="100"/>
      <c r="H1432" s="100"/>
    </row>
    <row r="1433" customHeight="1" spans="2:8">
      <c r="B1433" s="98"/>
      <c r="C1433" s="98"/>
      <c r="D1433" s="98"/>
      <c r="E1433" s="98"/>
      <c r="F1433" s="99"/>
      <c r="G1433" s="100"/>
      <c r="H1433" s="100"/>
    </row>
    <row r="1434" customHeight="1" spans="2:8">
      <c r="B1434" s="98"/>
      <c r="C1434" s="98"/>
      <c r="D1434" s="98"/>
      <c r="E1434" s="98"/>
      <c r="F1434" s="99"/>
      <c r="G1434" s="100"/>
      <c r="H1434" s="100"/>
    </row>
    <row r="1435" customHeight="1" spans="2:8">
      <c r="B1435" s="98"/>
      <c r="C1435" s="98"/>
      <c r="D1435" s="98"/>
      <c r="E1435" s="98"/>
      <c r="F1435" s="99"/>
      <c r="G1435" s="100"/>
      <c r="H1435" s="100"/>
    </row>
    <row r="1436" customHeight="1" spans="2:8">
      <c r="B1436" s="98"/>
      <c r="C1436" s="98"/>
      <c r="D1436" s="98"/>
      <c r="E1436" s="98"/>
      <c r="F1436" s="99"/>
      <c r="G1436" s="100"/>
      <c r="H1436" s="100"/>
    </row>
    <row r="1437" customHeight="1" spans="2:8">
      <c r="B1437" s="98"/>
      <c r="C1437" s="98"/>
      <c r="D1437" s="98"/>
      <c r="E1437" s="98"/>
      <c r="F1437" s="99"/>
      <c r="G1437" s="100"/>
      <c r="H1437" s="100"/>
    </row>
    <row r="1438" customHeight="1" spans="2:8">
      <c r="B1438" s="98"/>
      <c r="C1438" s="98"/>
      <c r="D1438" s="98"/>
      <c r="E1438" s="98"/>
      <c r="F1438" s="99"/>
      <c r="G1438" s="100"/>
      <c r="H1438" s="100"/>
    </row>
    <row r="1439" customHeight="1" spans="2:8">
      <c r="B1439" s="98"/>
      <c r="C1439" s="98"/>
      <c r="D1439" s="98"/>
      <c r="E1439" s="98"/>
      <c r="F1439" s="99"/>
      <c r="G1439" s="100"/>
      <c r="H1439" s="100"/>
    </row>
    <row r="1440" customHeight="1" spans="2:8">
      <c r="B1440" s="98"/>
      <c r="C1440" s="98"/>
      <c r="D1440" s="98"/>
      <c r="E1440" s="98"/>
      <c r="F1440" s="99"/>
      <c r="G1440" s="100"/>
      <c r="H1440" s="100"/>
    </row>
    <row r="1441" customHeight="1" spans="2:8">
      <c r="B1441" s="98"/>
      <c r="C1441" s="98"/>
      <c r="D1441" s="98"/>
      <c r="E1441" s="98"/>
      <c r="F1441" s="99"/>
      <c r="G1441" s="100"/>
      <c r="H1441" s="100"/>
    </row>
    <row r="1442" customHeight="1" spans="2:8">
      <c r="B1442" s="98"/>
      <c r="C1442" s="98"/>
      <c r="D1442" s="98"/>
      <c r="E1442" s="98"/>
      <c r="F1442" s="99"/>
      <c r="G1442" s="100"/>
      <c r="H1442" s="100"/>
    </row>
    <row r="1443" customHeight="1" spans="2:8">
      <c r="B1443" s="98"/>
      <c r="C1443" s="98"/>
      <c r="D1443" s="98"/>
      <c r="E1443" s="98"/>
      <c r="F1443" s="99"/>
      <c r="G1443" s="100"/>
      <c r="H1443" s="100"/>
    </row>
    <row r="1444" customHeight="1" spans="2:8">
      <c r="B1444" s="98"/>
      <c r="C1444" s="98"/>
      <c r="D1444" s="98"/>
      <c r="E1444" s="98"/>
      <c r="F1444" s="99"/>
      <c r="G1444" s="100"/>
      <c r="H1444" s="100"/>
    </row>
    <row r="1445" customHeight="1" spans="2:8">
      <c r="B1445" s="98"/>
      <c r="C1445" s="98"/>
      <c r="D1445" s="98"/>
      <c r="E1445" s="98"/>
      <c r="F1445" s="99"/>
      <c r="G1445" s="100"/>
      <c r="H1445" s="100"/>
    </row>
    <row r="1446" customHeight="1" spans="2:8">
      <c r="B1446" s="98"/>
      <c r="C1446" s="98"/>
      <c r="D1446" s="98"/>
      <c r="E1446" s="98"/>
      <c r="F1446" s="99"/>
      <c r="G1446" s="100"/>
      <c r="H1446" s="100"/>
    </row>
    <row r="1447" customHeight="1" spans="2:8">
      <c r="B1447" s="98"/>
      <c r="C1447" s="98"/>
      <c r="D1447" s="98"/>
      <c r="E1447" s="98"/>
      <c r="F1447" s="99"/>
      <c r="G1447" s="100"/>
      <c r="H1447" s="100"/>
    </row>
    <row r="1448" customHeight="1" spans="2:8">
      <c r="B1448" s="98"/>
      <c r="C1448" s="98"/>
      <c r="D1448" s="98"/>
      <c r="E1448" s="98"/>
      <c r="F1448" s="99"/>
      <c r="G1448" s="100"/>
      <c r="H1448" s="100"/>
    </row>
    <row r="1449" customHeight="1" spans="2:8">
      <c r="B1449" s="98"/>
      <c r="C1449" s="98"/>
      <c r="D1449" s="98"/>
      <c r="E1449" s="98"/>
      <c r="F1449" s="99"/>
      <c r="G1449" s="100"/>
      <c r="H1449" s="100"/>
    </row>
    <row r="1450" customHeight="1" spans="2:8">
      <c r="B1450" s="98"/>
      <c r="C1450" s="98"/>
      <c r="D1450" s="98"/>
      <c r="E1450" s="98"/>
      <c r="F1450" s="99"/>
      <c r="G1450" s="100"/>
      <c r="H1450" s="100"/>
    </row>
    <row r="1451" customHeight="1" spans="2:8">
      <c r="B1451" s="98"/>
      <c r="C1451" s="98"/>
      <c r="D1451" s="98"/>
      <c r="E1451" s="98"/>
      <c r="F1451" s="99"/>
      <c r="G1451" s="100"/>
      <c r="H1451" s="100"/>
    </row>
    <row r="1452" customHeight="1" spans="2:8">
      <c r="B1452" s="98"/>
      <c r="C1452" s="98"/>
      <c r="D1452" s="98"/>
      <c r="E1452" s="98"/>
      <c r="F1452" s="99"/>
      <c r="G1452" s="100"/>
      <c r="H1452" s="100"/>
    </row>
    <row r="1453" customHeight="1" spans="2:8">
      <c r="B1453" s="98"/>
      <c r="C1453" s="98"/>
      <c r="D1453" s="98"/>
      <c r="E1453" s="98"/>
      <c r="F1453" s="99"/>
      <c r="G1453" s="100"/>
      <c r="H1453" s="100"/>
    </row>
    <row r="1454" customHeight="1" spans="2:8">
      <c r="B1454" s="98"/>
      <c r="C1454" s="98"/>
      <c r="D1454" s="98"/>
      <c r="E1454" s="98"/>
      <c r="F1454" s="99"/>
      <c r="G1454" s="100"/>
      <c r="H1454" s="100"/>
    </row>
    <row r="1455" customHeight="1" spans="2:8">
      <c r="B1455" s="98"/>
      <c r="C1455" s="98"/>
      <c r="D1455" s="98"/>
      <c r="E1455" s="98"/>
      <c r="F1455" s="99"/>
      <c r="G1455" s="100"/>
      <c r="H1455" s="100"/>
    </row>
    <row r="1456" customHeight="1" spans="2:8">
      <c r="B1456" s="98"/>
      <c r="C1456" s="98"/>
      <c r="D1456" s="98"/>
      <c r="E1456" s="98"/>
      <c r="F1456" s="99"/>
      <c r="G1456" s="100"/>
      <c r="H1456" s="100"/>
    </row>
    <row r="1457" customHeight="1" spans="2:8">
      <c r="B1457" s="98"/>
      <c r="C1457" s="98"/>
      <c r="D1457" s="98"/>
      <c r="E1457" s="98"/>
      <c r="F1457" s="99"/>
      <c r="G1457" s="100"/>
      <c r="H1457" s="100"/>
    </row>
    <row r="1458" customHeight="1" spans="2:8">
      <c r="B1458" s="98"/>
      <c r="C1458" s="98"/>
      <c r="D1458" s="98"/>
      <c r="E1458" s="98"/>
      <c r="F1458" s="99"/>
      <c r="G1458" s="100"/>
      <c r="H1458" s="100"/>
    </row>
    <row r="1459" customHeight="1" spans="2:8">
      <c r="B1459" s="98"/>
      <c r="C1459" s="98"/>
      <c r="D1459" s="98"/>
      <c r="E1459" s="98"/>
      <c r="F1459" s="99"/>
      <c r="G1459" s="100"/>
      <c r="H1459" s="100"/>
    </row>
    <row r="1460" customHeight="1" spans="2:8">
      <c r="B1460" s="98"/>
      <c r="C1460" s="98"/>
      <c r="D1460" s="98"/>
      <c r="E1460" s="98"/>
      <c r="F1460" s="99"/>
      <c r="G1460" s="100"/>
      <c r="H1460" s="100"/>
    </row>
    <row r="1461" customHeight="1" spans="2:8">
      <c r="B1461" s="98"/>
      <c r="C1461" s="98"/>
      <c r="D1461" s="98"/>
      <c r="E1461" s="98"/>
      <c r="F1461" s="99"/>
      <c r="G1461" s="100"/>
      <c r="H1461" s="100"/>
    </row>
    <row r="1462" customHeight="1" spans="2:8">
      <c r="B1462" s="98"/>
      <c r="C1462" s="98"/>
      <c r="D1462" s="98"/>
      <c r="E1462" s="98"/>
      <c r="F1462" s="99"/>
      <c r="G1462" s="100"/>
      <c r="H1462" s="100"/>
    </row>
    <row r="1463" customHeight="1" spans="2:8">
      <c r="B1463" s="98"/>
      <c r="C1463" s="98"/>
      <c r="D1463" s="98"/>
      <c r="E1463" s="98"/>
      <c r="F1463" s="99"/>
      <c r="G1463" s="100"/>
      <c r="H1463" s="100"/>
    </row>
    <row r="1464" customHeight="1" spans="2:8">
      <c r="B1464" s="98"/>
      <c r="C1464" s="98"/>
      <c r="D1464" s="98"/>
      <c r="E1464" s="98"/>
      <c r="F1464" s="99"/>
      <c r="G1464" s="100"/>
      <c r="H1464" s="100"/>
    </row>
    <row r="1465" customHeight="1" spans="2:8">
      <c r="B1465" s="98"/>
      <c r="C1465" s="98"/>
      <c r="D1465" s="98"/>
      <c r="E1465" s="98"/>
      <c r="F1465" s="99"/>
      <c r="G1465" s="100"/>
      <c r="H1465" s="100"/>
    </row>
    <row r="1466" customHeight="1" spans="2:8">
      <c r="B1466" s="98"/>
      <c r="C1466" s="98"/>
      <c r="D1466" s="98"/>
      <c r="E1466" s="98"/>
      <c r="F1466" s="99"/>
      <c r="G1466" s="100"/>
      <c r="H1466" s="100"/>
    </row>
    <row r="1467" customHeight="1" spans="2:8">
      <c r="B1467" s="98"/>
      <c r="C1467" s="98"/>
      <c r="D1467" s="98"/>
      <c r="E1467" s="98"/>
      <c r="F1467" s="99"/>
      <c r="G1467" s="100"/>
      <c r="H1467" s="100"/>
    </row>
    <row r="1468" customHeight="1" spans="2:8">
      <c r="B1468" s="98"/>
      <c r="C1468" s="98"/>
      <c r="D1468" s="98"/>
      <c r="E1468" s="98"/>
      <c r="F1468" s="99"/>
      <c r="G1468" s="100"/>
      <c r="H1468" s="100"/>
    </row>
    <row r="1469" customHeight="1" spans="2:8">
      <c r="B1469" s="98"/>
      <c r="C1469" s="98"/>
      <c r="D1469" s="98"/>
      <c r="E1469" s="98"/>
      <c r="F1469" s="99"/>
      <c r="G1469" s="100"/>
      <c r="H1469" s="100"/>
    </row>
    <row r="1470" customHeight="1" spans="2:8">
      <c r="B1470" s="98"/>
      <c r="C1470" s="98"/>
      <c r="D1470" s="98"/>
      <c r="E1470" s="98"/>
      <c r="F1470" s="99"/>
      <c r="G1470" s="100"/>
      <c r="H1470" s="100"/>
    </row>
    <row r="1471" customHeight="1" spans="2:8">
      <c r="B1471" s="98"/>
      <c r="C1471" s="98"/>
      <c r="D1471" s="98"/>
      <c r="E1471" s="98"/>
      <c r="F1471" s="99"/>
      <c r="G1471" s="100"/>
      <c r="H1471" s="100"/>
    </row>
    <row r="1472" customHeight="1" spans="2:8">
      <c r="B1472" s="98"/>
      <c r="C1472" s="98"/>
      <c r="D1472" s="98"/>
      <c r="E1472" s="98"/>
      <c r="F1472" s="99"/>
      <c r="G1472" s="100"/>
      <c r="H1472" s="100"/>
    </row>
    <row r="1473" customHeight="1" spans="2:8">
      <c r="B1473" s="98"/>
      <c r="C1473" s="98"/>
      <c r="D1473" s="98"/>
      <c r="E1473" s="98"/>
      <c r="F1473" s="99"/>
      <c r="G1473" s="100"/>
      <c r="H1473" s="100"/>
    </row>
    <row r="1474" customHeight="1" spans="2:8">
      <c r="B1474" s="98"/>
      <c r="C1474" s="98"/>
      <c r="D1474" s="98"/>
      <c r="E1474" s="98"/>
      <c r="F1474" s="99"/>
      <c r="G1474" s="100"/>
      <c r="H1474" s="100"/>
    </row>
    <row r="1475" customHeight="1" spans="2:8">
      <c r="B1475" s="98"/>
      <c r="C1475" s="98"/>
      <c r="D1475" s="98"/>
      <c r="E1475" s="98"/>
      <c r="F1475" s="99"/>
      <c r="G1475" s="100"/>
      <c r="H1475" s="100"/>
    </row>
    <row r="1476" customHeight="1" spans="2:8">
      <c r="B1476" s="98"/>
      <c r="C1476" s="98"/>
      <c r="D1476" s="98"/>
      <c r="E1476" s="98"/>
      <c r="F1476" s="99"/>
      <c r="G1476" s="100"/>
      <c r="H1476" s="100"/>
    </row>
    <row r="1477" customHeight="1" spans="2:8">
      <c r="B1477" s="98"/>
      <c r="C1477" s="98"/>
      <c r="D1477" s="98"/>
      <c r="E1477" s="98"/>
      <c r="F1477" s="99"/>
      <c r="G1477" s="100"/>
      <c r="H1477" s="100"/>
    </row>
    <row r="1478" customHeight="1" spans="2:8">
      <c r="B1478" s="98"/>
      <c r="C1478" s="98"/>
      <c r="D1478" s="98"/>
      <c r="E1478" s="98"/>
      <c r="F1478" s="99"/>
      <c r="G1478" s="100"/>
      <c r="H1478" s="100"/>
    </row>
    <row r="1479" customHeight="1" spans="2:8">
      <c r="B1479" s="98"/>
      <c r="C1479" s="98"/>
      <c r="D1479" s="98"/>
      <c r="E1479" s="98"/>
      <c r="F1479" s="99"/>
      <c r="G1479" s="100"/>
      <c r="H1479" s="100"/>
    </row>
    <row r="1480" customHeight="1" spans="2:8">
      <c r="B1480" s="98"/>
      <c r="C1480" s="98"/>
      <c r="D1480" s="98"/>
      <c r="E1480" s="98"/>
      <c r="F1480" s="99"/>
      <c r="G1480" s="100"/>
      <c r="H1480" s="100"/>
    </row>
    <row r="1481" customHeight="1" spans="2:8">
      <c r="B1481" s="98"/>
      <c r="C1481" s="98"/>
      <c r="D1481" s="98"/>
      <c r="E1481" s="98"/>
      <c r="F1481" s="99"/>
      <c r="G1481" s="100"/>
      <c r="H1481" s="100"/>
    </row>
    <row r="1482" customHeight="1" spans="2:8">
      <c r="B1482" s="98"/>
      <c r="C1482" s="98"/>
      <c r="D1482" s="98"/>
      <c r="E1482" s="98"/>
      <c r="F1482" s="99"/>
      <c r="G1482" s="100"/>
      <c r="H1482" s="100"/>
    </row>
    <row r="1483" customHeight="1" spans="2:8">
      <c r="B1483" s="98"/>
      <c r="C1483" s="98"/>
      <c r="D1483" s="98"/>
      <c r="E1483" s="98"/>
      <c r="F1483" s="99"/>
      <c r="G1483" s="100"/>
      <c r="H1483" s="100"/>
    </row>
    <row r="1484" customHeight="1" spans="2:8">
      <c r="B1484" s="98"/>
      <c r="C1484" s="98"/>
      <c r="D1484" s="98"/>
      <c r="E1484" s="98"/>
      <c r="F1484" s="99"/>
      <c r="G1484" s="100"/>
      <c r="H1484" s="100"/>
    </row>
    <row r="1485" customHeight="1" spans="2:8">
      <c r="B1485" s="98"/>
      <c r="C1485" s="98"/>
      <c r="D1485" s="98"/>
      <c r="E1485" s="98"/>
      <c r="F1485" s="99"/>
      <c r="G1485" s="100"/>
      <c r="H1485" s="100"/>
    </row>
    <row r="1486" customHeight="1" spans="2:8">
      <c r="B1486" s="98"/>
      <c r="C1486" s="98"/>
      <c r="D1486" s="98"/>
      <c r="E1486" s="98"/>
      <c r="F1486" s="99"/>
      <c r="G1486" s="100"/>
      <c r="H1486" s="100"/>
    </row>
    <row r="1487" customHeight="1" spans="2:8">
      <c r="B1487" s="98"/>
      <c r="C1487" s="98"/>
      <c r="D1487" s="98"/>
      <c r="E1487" s="98"/>
      <c r="F1487" s="99"/>
      <c r="G1487" s="100"/>
      <c r="H1487" s="100"/>
    </row>
    <row r="1488" customHeight="1" spans="2:8">
      <c r="B1488" s="98"/>
      <c r="C1488" s="98"/>
      <c r="D1488" s="98"/>
      <c r="E1488" s="98"/>
      <c r="F1488" s="99"/>
      <c r="G1488" s="100"/>
      <c r="H1488" s="100"/>
    </row>
    <row r="1489" customHeight="1" spans="2:8">
      <c r="B1489" s="98"/>
      <c r="C1489" s="98"/>
      <c r="D1489" s="98"/>
      <c r="E1489" s="98"/>
      <c r="F1489" s="99"/>
      <c r="G1489" s="100"/>
      <c r="H1489" s="100"/>
    </row>
    <row r="1490" customHeight="1" spans="2:8">
      <c r="B1490" s="98"/>
      <c r="C1490" s="98"/>
      <c r="D1490" s="98"/>
      <c r="E1490" s="98"/>
      <c r="F1490" s="99"/>
      <c r="G1490" s="100"/>
      <c r="H1490" s="100"/>
    </row>
    <row r="1491" customHeight="1" spans="2:8">
      <c r="B1491" s="98"/>
      <c r="C1491" s="98"/>
      <c r="D1491" s="98"/>
      <c r="E1491" s="98"/>
      <c r="F1491" s="99"/>
      <c r="G1491" s="100"/>
      <c r="H1491" s="100"/>
    </row>
    <row r="1492" customHeight="1" spans="2:8">
      <c r="B1492" s="98"/>
      <c r="C1492" s="98"/>
      <c r="D1492" s="98"/>
      <c r="E1492" s="98"/>
      <c r="F1492" s="99"/>
      <c r="G1492" s="100"/>
      <c r="H1492" s="100"/>
    </row>
    <row r="1493" customHeight="1" spans="2:8">
      <c r="B1493" s="98"/>
      <c r="C1493" s="98"/>
      <c r="D1493" s="98"/>
      <c r="E1493" s="98"/>
      <c r="F1493" s="99"/>
      <c r="G1493" s="100"/>
      <c r="H1493" s="100"/>
    </row>
    <row r="1494" customHeight="1" spans="2:8">
      <c r="B1494" s="98"/>
      <c r="C1494" s="98"/>
      <c r="D1494" s="98"/>
      <c r="E1494" s="98"/>
      <c r="F1494" s="99"/>
      <c r="G1494" s="100"/>
      <c r="H1494" s="100"/>
    </row>
    <row r="1495" customHeight="1" spans="2:8">
      <c r="B1495" s="98"/>
      <c r="C1495" s="98"/>
      <c r="D1495" s="98"/>
      <c r="E1495" s="98"/>
      <c r="F1495" s="99"/>
      <c r="G1495" s="100"/>
      <c r="H1495" s="100"/>
    </row>
    <row r="1496" customHeight="1" spans="2:8">
      <c r="B1496" s="98"/>
      <c r="C1496" s="98"/>
      <c r="D1496" s="98"/>
      <c r="E1496" s="98"/>
      <c r="F1496" s="99"/>
      <c r="G1496" s="100"/>
      <c r="H1496" s="100"/>
    </row>
    <row r="1497" customHeight="1" spans="2:8">
      <c r="B1497" s="98"/>
      <c r="C1497" s="98"/>
      <c r="D1497" s="98"/>
      <c r="E1497" s="98"/>
      <c r="F1497" s="99"/>
      <c r="G1497" s="100"/>
      <c r="H1497" s="100"/>
    </row>
    <row r="1498" customHeight="1" spans="2:8">
      <c r="B1498" s="98"/>
      <c r="C1498" s="98"/>
      <c r="D1498" s="98"/>
      <c r="E1498" s="98"/>
      <c r="F1498" s="99"/>
      <c r="G1498" s="100"/>
      <c r="H1498" s="100"/>
    </row>
    <row r="1499" customHeight="1" spans="2:8">
      <c r="B1499" s="98"/>
      <c r="C1499" s="98"/>
      <c r="D1499" s="98"/>
      <c r="E1499" s="98"/>
      <c r="F1499" s="99"/>
      <c r="G1499" s="100"/>
      <c r="H1499" s="100"/>
    </row>
    <row r="1500" customHeight="1" spans="2:8">
      <c r="B1500" s="98"/>
      <c r="C1500" s="98"/>
      <c r="D1500" s="98"/>
      <c r="E1500" s="98"/>
      <c r="F1500" s="99"/>
      <c r="G1500" s="100"/>
      <c r="H1500" s="100"/>
    </row>
    <row r="1501" customHeight="1" spans="2:8">
      <c r="B1501" s="98"/>
      <c r="C1501" s="98"/>
      <c r="D1501" s="98"/>
      <c r="E1501" s="98"/>
      <c r="F1501" s="99"/>
      <c r="G1501" s="100"/>
      <c r="H1501" s="100"/>
    </row>
    <row r="1502" customHeight="1" spans="2:8">
      <c r="B1502" s="98"/>
      <c r="C1502" s="98"/>
      <c r="D1502" s="98"/>
      <c r="E1502" s="98"/>
      <c r="F1502" s="99"/>
      <c r="G1502" s="100"/>
      <c r="H1502" s="100"/>
    </row>
    <row r="1503" customHeight="1" spans="2:8">
      <c r="B1503" s="98"/>
      <c r="C1503" s="98"/>
      <c r="D1503" s="98"/>
      <c r="E1503" s="98"/>
      <c r="F1503" s="99"/>
      <c r="G1503" s="100"/>
      <c r="H1503" s="100"/>
    </row>
    <row r="1504" customHeight="1" spans="2:8">
      <c r="B1504" s="98"/>
      <c r="C1504" s="98"/>
      <c r="D1504" s="98"/>
      <c r="E1504" s="98"/>
      <c r="F1504" s="99"/>
      <c r="G1504" s="100"/>
      <c r="H1504" s="100"/>
    </row>
    <row r="1505" customHeight="1" spans="2:8">
      <c r="B1505" s="98"/>
      <c r="C1505" s="98"/>
      <c r="D1505" s="98"/>
      <c r="E1505" s="98"/>
      <c r="F1505" s="99"/>
      <c r="G1505" s="100"/>
      <c r="H1505" s="100"/>
    </row>
    <row r="1506" customHeight="1" spans="2:8">
      <c r="B1506" s="98"/>
      <c r="C1506" s="98"/>
      <c r="D1506" s="98"/>
      <c r="E1506" s="98"/>
      <c r="F1506" s="99"/>
      <c r="G1506" s="100"/>
      <c r="H1506" s="100"/>
    </row>
    <row r="1507" customHeight="1" spans="2:8">
      <c r="B1507" s="98"/>
      <c r="C1507" s="98"/>
      <c r="D1507" s="98"/>
      <c r="E1507" s="98"/>
      <c r="F1507" s="99"/>
      <c r="G1507" s="100"/>
      <c r="H1507" s="100"/>
    </row>
    <row r="1508" customHeight="1" spans="2:8">
      <c r="B1508" s="98"/>
      <c r="C1508" s="98"/>
      <c r="D1508" s="98"/>
      <c r="E1508" s="98"/>
      <c r="F1508" s="99"/>
      <c r="G1508" s="100"/>
      <c r="H1508" s="100"/>
    </row>
    <row r="1509" customHeight="1" spans="2:8">
      <c r="B1509" s="98"/>
      <c r="C1509" s="98"/>
      <c r="D1509" s="98"/>
      <c r="E1509" s="98"/>
      <c r="F1509" s="99"/>
      <c r="G1509" s="100"/>
      <c r="H1509" s="100"/>
    </row>
    <row r="1510" customHeight="1" spans="2:8">
      <c r="B1510" s="98"/>
      <c r="C1510" s="98"/>
      <c r="D1510" s="98"/>
      <c r="E1510" s="98"/>
      <c r="F1510" s="99"/>
      <c r="G1510" s="100"/>
      <c r="H1510" s="100"/>
    </row>
    <row r="1511" customHeight="1" spans="2:8">
      <c r="B1511" s="98"/>
      <c r="C1511" s="98"/>
      <c r="D1511" s="98"/>
      <c r="E1511" s="98"/>
      <c r="F1511" s="99"/>
      <c r="G1511" s="100"/>
      <c r="H1511" s="100"/>
    </row>
    <row r="1512" customHeight="1" spans="2:8">
      <c r="B1512" s="98"/>
      <c r="C1512" s="98"/>
      <c r="D1512" s="98"/>
      <c r="E1512" s="98"/>
      <c r="F1512" s="99"/>
      <c r="G1512" s="100"/>
      <c r="H1512" s="100"/>
    </row>
    <row r="1513" customHeight="1" spans="2:8">
      <c r="B1513" s="98"/>
      <c r="C1513" s="98"/>
      <c r="D1513" s="98"/>
      <c r="E1513" s="98"/>
      <c r="F1513" s="99"/>
      <c r="G1513" s="100"/>
      <c r="H1513" s="100"/>
    </row>
    <row r="1514" customHeight="1" spans="2:8">
      <c r="B1514" s="98"/>
      <c r="C1514" s="98"/>
      <c r="D1514" s="98"/>
      <c r="E1514" s="98"/>
      <c r="F1514" s="99"/>
      <c r="G1514" s="100"/>
      <c r="H1514" s="100"/>
    </row>
    <row r="1515" customHeight="1" spans="2:8">
      <c r="B1515" s="98"/>
      <c r="C1515" s="98"/>
      <c r="D1515" s="98"/>
      <c r="E1515" s="98"/>
      <c r="F1515" s="99"/>
      <c r="G1515" s="100"/>
      <c r="H1515" s="100"/>
    </row>
    <row r="1516" customHeight="1" spans="2:8">
      <c r="B1516" s="98"/>
      <c r="C1516" s="98"/>
      <c r="D1516" s="98"/>
      <c r="E1516" s="98"/>
      <c r="F1516" s="99"/>
      <c r="G1516" s="100"/>
      <c r="H1516" s="100"/>
    </row>
    <row r="1517" customHeight="1" spans="2:8">
      <c r="B1517" s="98"/>
      <c r="C1517" s="98"/>
      <c r="D1517" s="98"/>
      <c r="E1517" s="98"/>
      <c r="F1517" s="99"/>
      <c r="G1517" s="100"/>
      <c r="H1517" s="100"/>
    </row>
    <row r="1518" customHeight="1" spans="2:8">
      <c r="B1518" s="98"/>
      <c r="C1518" s="98"/>
      <c r="D1518" s="98"/>
      <c r="E1518" s="98"/>
      <c r="F1518" s="99"/>
      <c r="G1518" s="100"/>
      <c r="H1518" s="100"/>
    </row>
    <row r="1519" customHeight="1" spans="2:8">
      <c r="B1519" s="98"/>
      <c r="C1519" s="98"/>
      <c r="D1519" s="98"/>
      <c r="E1519" s="98"/>
      <c r="F1519" s="99"/>
      <c r="G1519" s="100"/>
      <c r="H1519" s="100"/>
    </row>
    <row r="1520" customHeight="1" spans="2:8">
      <c r="B1520" s="98"/>
      <c r="C1520" s="98"/>
      <c r="D1520" s="98"/>
      <c r="E1520" s="98"/>
      <c r="F1520" s="99"/>
      <c r="G1520" s="100"/>
      <c r="H1520" s="100"/>
    </row>
    <row r="1521" customHeight="1" spans="2:8">
      <c r="B1521" s="98"/>
      <c r="C1521" s="98"/>
      <c r="D1521" s="98"/>
      <c r="E1521" s="98"/>
      <c r="F1521" s="99"/>
      <c r="G1521" s="100"/>
      <c r="H1521" s="100"/>
    </row>
    <row r="1522" customHeight="1" spans="2:8">
      <c r="B1522" s="98"/>
      <c r="C1522" s="98"/>
      <c r="D1522" s="98"/>
      <c r="E1522" s="98"/>
      <c r="F1522" s="99"/>
      <c r="G1522" s="100"/>
      <c r="H1522" s="100"/>
    </row>
    <row r="1523" customHeight="1" spans="2:8">
      <c r="B1523" s="98"/>
      <c r="C1523" s="98"/>
      <c r="D1523" s="98"/>
      <c r="E1523" s="98"/>
      <c r="F1523" s="99"/>
      <c r="G1523" s="100"/>
      <c r="H1523" s="100"/>
    </row>
    <row r="1524" customHeight="1" spans="2:8">
      <c r="B1524" s="98"/>
      <c r="C1524" s="98"/>
      <c r="D1524" s="98"/>
      <c r="E1524" s="98"/>
      <c r="F1524" s="99"/>
      <c r="G1524" s="100"/>
      <c r="H1524" s="100"/>
    </row>
    <row r="1525" customHeight="1" spans="2:8">
      <c r="B1525" s="98"/>
      <c r="C1525" s="98"/>
      <c r="D1525" s="98"/>
      <c r="E1525" s="98"/>
      <c r="F1525" s="99"/>
      <c r="G1525" s="100"/>
      <c r="H1525" s="100"/>
    </row>
    <row r="1526" customHeight="1" spans="2:8">
      <c r="B1526" s="98"/>
      <c r="C1526" s="98"/>
      <c r="D1526" s="98"/>
      <c r="E1526" s="98"/>
      <c r="F1526" s="99"/>
      <c r="G1526" s="100"/>
      <c r="H1526" s="100"/>
    </row>
    <row r="1527" customHeight="1" spans="2:8">
      <c r="B1527" s="98"/>
      <c r="C1527" s="98"/>
      <c r="D1527" s="98"/>
      <c r="E1527" s="98"/>
      <c r="F1527" s="99"/>
      <c r="G1527" s="100"/>
      <c r="H1527" s="100"/>
    </row>
    <row r="1528" customHeight="1" spans="2:8">
      <c r="B1528" s="98"/>
      <c r="C1528" s="98"/>
      <c r="D1528" s="98"/>
      <c r="E1528" s="98"/>
      <c r="F1528" s="99"/>
      <c r="G1528" s="100"/>
      <c r="H1528" s="100"/>
    </row>
    <row r="1529" customHeight="1" spans="2:8">
      <c r="B1529" s="98"/>
      <c r="C1529" s="98"/>
      <c r="D1529" s="98"/>
      <c r="E1529" s="98"/>
      <c r="F1529" s="99"/>
      <c r="G1529" s="100"/>
      <c r="H1529" s="100"/>
    </row>
    <row r="1530" customHeight="1" spans="2:8">
      <c r="B1530" s="98"/>
      <c r="C1530" s="98"/>
      <c r="D1530" s="98"/>
      <c r="E1530" s="98"/>
      <c r="F1530" s="99"/>
      <c r="G1530" s="100"/>
      <c r="H1530" s="100"/>
    </row>
    <row r="1531" customHeight="1" spans="2:8">
      <c r="B1531" s="98"/>
      <c r="C1531" s="98"/>
      <c r="D1531" s="98"/>
      <c r="E1531" s="98"/>
      <c r="F1531" s="99"/>
      <c r="G1531" s="100"/>
      <c r="H1531" s="100"/>
    </row>
    <row r="1532" customHeight="1" spans="2:8">
      <c r="B1532" s="98"/>
      <c r="C1532" s="98"/>
      <c r="D1532" s="98"/>
      <c r="E1532" s="98"/>
      <c r="F1532" s="99"/>
      <c r="G1532" s="100"/>
      <c r="H1532" s="100"/>
    </row>
    <row r="1533" customHeight="1" spans="2:8">
      <c r="B1533" s="98"/>
      <c r="C1533" s="98"/>
      <c r="D1533" s="98"/>
      <c r="E1533" s="98"/>
      <c r="F1533" s="99"/>
      <c r="G1533" s="100"/>
      <c r="H1533" s="100"/>
    </row>
    <row r="1534" customHeight="1" spans="2:8">
      <c r="B1534" s="98"/>
      <c r="C1534" s="98"/>
      <c r="D1534" s="98"/>
      <c r="E1534" s="98"/>
      <c r="F1534" s="99"/>
      <c r="G1534" s="100"/>
      <c r="H1534" s="100"/>
    </row>
    <row r="1535" customHeight="1" spans="2:8">
      <c r="B1535" s="98"/>
      <c r="C1535" s="98"/>
      <c r="D1535" s="98"/>
      <c r="E1535" s="98"/>
      <c r="F1535" s="99"/>
      <c r="G1535" s="100"/>
      <c r="H1535" s="100"/>
    </row>
    <row r="1536" customHeight="1" spans="2:8">
      <c r="B1536" s="98"/>
      <c r="C1536" s="98"/>
      <c r="D1536" s="98"/>
      <c r="E1536" s="98"/>
      <c r="F1536" s="99"/>
      <c r="G1536" s="100"/>
      <c r="H1536" s="100"/>
    </row>
    <row r="1537" customHeight="1" spans="2:8">
      <c r="B1537" s="98"/>
      <c r="C1537" s="98"/>
      <c r="D1537" s="98"/>
      <c r="E1537" s="98"/>
      <c r="F1537" s="99"/>
      <c r="G1537" s="100"/>
      <c r="H1537" s="100"/>
    </row>
    <row r="1538" customHeight="1" spans="2:8">
      <c r="B1538" s="98"/>
      <c r="C1538" s="98"/>
      <c r="D1538" s="98"/>
      <c r="E1538" s="98"/>
      <c r="F1538" s="99"/>
      <c r="G1538" s="100"/>
      <c r="H1538" s="100"/>
    </row>
    <row r="1539" customHeight="1" spans="2:8">
      <c r="B1539" s="98"/>
      <c r="C1539" s="98"/>
      <c r="D1539" s="98"/>
      <c r="E1539" s="98"/>
      <c r="F1539" s="99"/>
      <c r="G1539" s="100"/>
      <c r="H1539" s="100"/>
    </row>
    <row r="1540" customHeight="1" spans="2:8">
      <c r="B1540" s="98"/>
      <c r="C1540" s="98"/>
      <c r="D1540" s="98"/>
      <c r="E1540" s="98"/>
      <c r="F1540" s="99"/>
      <c r="G1540" s="100"/>
      <c r="H1540" s="100"/>
    </row>
    <row r="1541" customHeight="1" spans="2:8">
      <c r="B1541" s="98"/>
      <c r="C1541" s="98"/>
      <c r="D1541" s="98"/>
      <c r="E1541" s="98"/>
      <c r="F1541" s="99"/>
      <c r="G1541" s="100"/>
      <c r="H1541" s="100"/>
    </row>
    <row r="1542" customHeight="1" spans="2:8">
      <c r="B1542" s="98"/>
      <c r="C1542" s="98"/>
      <c r="D1542" s="98"/>
      <c r="E1542" s="98"/>
      <c r="F1542" s="99"/>
      <c r="G1542" s="100"/>
      <c r="H1542" s="100"/>
    </row>
    <row r="1543" customHeight="1" spans="2:8">
      <c r="B1543" s="98"/>
      <c r="C1543" s="98"/>
      <c r="D1543" s="98"/>
      <c r="E1543" s="98"/>
      <c r="F1543" s="99"/>
      <c r="G1543" s="100"/>
      <c r="H1543" s="100"/>
    </row>
    <row r="1544" customHeight="1" spans="2:8">
      <c r="B1544" s="98"/>
      <c r="C1544" s="98"/>
      <c r="D1544" s="98"/>
      <c r="E1544" s="98"/>
      <c r="F1544" s="99"/>
      <c r="G1544" s="100"/>
      <c r="H1544" s="100"/>
    </row>
    <row r="1545" customHeight="1" spans="2:8">
      <c r="B1545" s="98"/>
      <c r="C1545" s="98"/>
      <c r="D1545" s="98"/>
      <c r="E1545" s="98"/>
      <c r="F1545" s="99"/>
      <c r="G1545" s="100"/>
      <c r="H1545" s="100"/>
    </row>
    <row r="1546" customHeight="1" spans="2:8">
      <c r="B1546" s="98"/>
      <c r="C1546" s="98"/>
      <c r="D1546" s="98"/>
      <c r="E1546" s="98"/>
      <c r="F1546" s="99"/>
      <c r="G1546" s="100"/>
      <c r="H1546" s="100"/>
    </row>
    <row r="1547" customHeight="1" spans="2:8">
      <c r="B1547" s="98"/>
      <c r="C1547" s="98"/>
      <c r="D1547" s="98"/>
      <c r="E1547" s="98"/>
      <c r="F1547" s="99"/>
      <c r="G1547" s="100"/>
      <c r="H1547" s="100"/>
    </row>
    <row r="1548" customHeight="1" spans="2:8">
      <c r="B1548" s="98"/>
      <c r="C1548" s="98"/>
      <c r="D1548" s="98"/>
      <c r="E1548" s="98"/>
      <c r="F1548" s="99"/>
      <c r="G1548" s="100"/>
      <c r="H1548" s="100"/>
    </row>
    <row r="1549" customHeight="1" spans="2:8">
      <c r="B1549" s="98"/>
      <c r="C1549" s="98"/>
      <c r="D1549" s="98"/>
      <c r="E1549" s="98"/>
      <c r="F1549" s="99"/>
      <c r="G1549" s="100"/>
      <c r="H1549" s="100"/>
    </row>
    <row r="1550" customHeight="1" spans="2:8">
      <c r="B1550" s="98"/>
      <c r="C1550" s="98"/>
      <c r="D1550" s="98"/>
      <c r="E1550" s="98"/>
      <c r="F1550" s="99"/>
      <c r="G1550" s="100"/>
      <c r="H1550" s="100"/>
    </row>
    <row r="1551" customHeight="1" spans="2:8">
      <c r="B1551" s="98"/>
      <c r="C1551" s="98"/>
      <c r="D1551" s="98"/>
      <c r="E1551" s="98"/>
      <c r="F1551" s="99"/>
      <c r="G1551" s="100"/>
      <c r="H1551" s="100"/>
    </row>
    <row r="1552" customHeight="1" spans="2:8">
      <c r="B1552" s="98"/>
      <c r="C1552" s="98"/>
      <c r="D1552" s="98"/>
      <c r="E1552" s="98"/>
      <c r="F1552" s="99"/>
      <c r="G1552" s="100"/>
      <c r="H1552" s="100"/>
    </row>
    <row r="1553" customHeight="1" spans="2:8">
      <c r="B1553" s="98"/>
      <c r="C1553" s="98"/>
      <c r="D1553" s="98"/>
      <c r="E1553" s="98"/>
      <c r="F1553" s="99"/>
      <c r="G1553" s="100"/>
      <c r="H1553" s="100"/>
    </row>
    <row r="1554" customHeight="1" spans="2:8">
      <c r="B1554" s="98"/>
      <c r="C1554" s="98"/>
      <c r="D1554" s="98"/>
      <c r="E1554" s="98"/>
      <c r="F1554" s="99"/>
      <c r="G1554" s="100"/>
      <c r="H1554" s="100"/>
    </row>
    <row r="1555" customHeight="1" spans="2:8">
      <c r="B1555" s="98"/>
      <c r="C1555" s="98"/>
      <c r="D1555" s="98"/>
      <c r="E1555" s="98"/>
      <c r="F1555" s="99"/>
      <c r="G1555" s="100"/>
      <c r="H1555" s="100"/>
    </row>
    <row r="1556" customHeight="1" spans="2:8">
      <c r="B1556" s="98"/>
      <c r="C1556" s="98"/>
      <c r="D1556" s="98"/>
      <c r="E1556" s="98"/>
      <c r="F1556" s="99"/>
      <c r="G1556" s="100"/>
      <c r="H1556" s="100"/>
    </row>
    <row r="1557" customHeight="1" spans="2:8">
      <c r="B1557" s="98"/>
      <c r="C1557" s="98"/>
      <c r="D1557" s="98"/>
      <c r="E1557" s="98"/>
      <c r="F1557" s="99"/>
      <c r="G1557" s="100"/>
      <c r="H1557" s="100"/>
    </row>
    <row r="1558" customHeight="1" spans="2:8">
      <c r="B1558" s="98"/>
      <c r="C1558" s="98"/>
      <c r="D1558" s="98"/>
      <c r="E1558" s="98"/>
      <c r="F1558" s="99"/>
      <c r="G1558" s="100"/>
      <c r="H1558" s="100"/>
    </row>
    <row r="1559" customHeight="1" spans="2:8">
      <c r="B1559" s="98"/>
      <c r="C1559" s="98"/>
      <c r="D1559" s="98"/>
      <c r="E1559" s="98"/>
      <c r="F1559" s="99"/>
      <c r="G1559" s="100"/>
      <c r="H1559" s="100"/>
    </row>
    <row r="1560" customHeight="1" spans="2:8">
      <c r="B1560" s="98"/>
      <c r="C1560" s="98"/>
      <c r="D1560" s="98"/>
      <c r="E1560" s="98"/>
      <c r="F1560" s="99"/>
      <c r="G1560" s="100"/>
      <c r="H1560" s="100"/>
    </row>
    <row r="1561" customHeight="1" spans="2:8">
      <c r="B1561" s="98"/>
      <c r="C1561" s="98"/>
      <c r="D1561" s="98"/>
      <c r="E1561" s="98"/>
      <c r="F1561" s="99"/>
      <c r="G1561" s="100"/>
      <c r="H1561" s="100"/>
    </row>
    <row r="1562" customHeight="1" spans="2:8">
      <c r="B1562" s="98"/>
      <c r="C1562" s="98"/>
      <c r="D1562" s="98"/>
      <c r="E1562" s="98"/>
      <c r="F1562" s="99"/>
      <c r="G1562" s="100"/>
      <c r="H1562" s="100"/>
    </row>
    <row r="1563" customHeight="1" spans="2:8">
      <c r="B1563" s="98"/>
      <c r="C1563" s="98"/>
      <c r="D1563" s="98"/>
      <c r="E1563" s="98"/>
      <c r="F1563" s="99"/>
      <c r="G1563" s="100"/>
      <c r="H1563" s="100"/>
    </row>
    <row r="1564" customHeight="1" spans="2:8">
      <c r="B1564" s="98"/>
      <c r="C1564" s="98"/>
      <c r="D1564" s="98"/>
      <c r="E1564" s="98"/>
      <c r="F1564" s="99"/>
      <c r="G1564" s="100"/>
      <c r="H1564" s="100"/>
    </row>
    <row r="1565" customHeight="1" spans="2:8">
      <c r="B1565" s="98"/>
      <c r="C1565" s="98"/>
      <c r="D1565" s="98"/>
      <c r="E1565" s="98"/>
      <c r="F1565" s="99"/>
      <c r="G1565" s="100"/>
      <c r="H1565" s="100"/>
    </row>
    <row r="1566" customHeight="1" spans="2:8">
      <c r="B1566" s="98"/>
      <c r="C1566" s="98"/>
      <c r="D1566" s="98"/>
      <c r="E1566" s="98"/>
      <c r="F1566" s="99"/>
      <c r="G1566" s="100"/>
      <c r="H1566" s="100"/>
    </row>
    <row r="1567" customHeight="1" spans="2:8">
      <c r="B1567" s="98"/>
      <c r="C1567" s="98"/>
      <c r="D1567" s="98"/>
      <c r="E1567" s="98"/>
      <c r="F1567" s="99"/>
      <c r="G1567" s="100"/>
      <c r="H1567" s="100"/>
    </row>
    <row r="1568" customHeight="1" spans="2:8">
      <c r="B1568" s="98"/>
      <c r="C1568" s="98"/>
      <c r="D1568" s="98"/>
      <c r="E1568" s="98"/>
      <c r="F1568" s="99"/>
      <c r="G1568" s="100"/>
      <c r="H1568" s="100"/>
    </row>
    <row r="1569" customHeight="1" spans="2:8">
      <c r="B1569" s="98"/>
      <c r="C1569" s="98"/>
      <c r="D1569" s="98"/>
      <c r="E1569" s="98"/>
      <c r="F1569" s="99"/>
      <c r="G1569" s="100"/>
      <c r="H1569" s="100"/>
    </row>
    <row r="1570" customHeight="1" spans="2:8">
      <c r="B1570" s="98"/>
      <c r="C1570" s="98"/>
      <c r="D1570" s="98"/>
      <c r="E1570" s="98"/>
      <c r="F1570" s="99"/>
      <c r="G1570" s="100"/>
      <c r="H1570" s="100"/>
    </row>
    <row r="1571" customHeight="1" spans="2:8">
      <c r="B1571" s="98"/>
      <c r="C1571" s="98"/>
      <c r="D1571" s="98"/>
      <c r="E1571" s="98"/>
      <c r="F1571" s="99"/>
      <c r="G1571" s="100"/>
      <c r="H1571" s="100"/>
    </row>
    <row r="1572" customHeight="1" spans="2:8">
      <c r="B1572" s="98"/>
      <c r="C1572" s="98"/>
      <c r="D1572" s="98"/>
      <c r="E1572" s="98"/>
      <c r="F1572" s="99"/>
      <c r="G1572" s="100"/>
      <c r="H1572" s="100"/>
    </row>
    <row r="1573" customHeight="1" spans="2:8">
      <c r="B1573" s="98"/>
      <c r="C1573" s="98"/>
      <c r="D1573" s="98"/>
      <c r="E1573" s="98"/>
      <c r="F1573" s="99"/>
      <c r="G1573" s="100"/>
      <c r="H1573" s="100"/>
    </row>
    <row r="1574" customHeight="1" spans="2:8">
      <c r="B1574" s="98"/>
      <c r="C1574" s="98"/>
      <c r="D1574" s="98"/>
      <c r="E1574" s="98"/>
      <c r="F1574" s="99"/>
      <c r="G1574" s="100"/>
      <c r="H1574" s="100"/>
    </row>
    <row r="1575" customHeight="1" spans="2:8">
      <c r="B1575" s="98"/>
      <c r="C1575" s="98"/>
      <c r="D1575" s="98"/>
      <c r="E1575" s="98"/>
      <c r="F1575" s="99"/>
      <c r="G1575" s="100"/>
      <c r="H1575" s="100"/>
    </row>
    <row r="1576" customHeight="1" spans="2:8">
      <c r="B1576" s="98"/>
      <c r="C1576" s="98"/>
      <c r="D1576" s="98"/>
      <c r="E1576" s="98"/>
      <c r="F1576" s="99"/>
      <c r="G1576" s="100"/>
      <c r="H1576" s="100"/>
    </row>
    <row r="1577" customHeight="1" spans="2:8">
      <c r="B1577" s="98"/>
      <c r="C1577" s="98"/>
      <c r="D1577" s="98"/>
      <c r="E1577" s="98"/>
      <c r="F1577" s="99"/>
      <c r="G1577" s="100"/>
      <c r="H1577" s="100"/>
    </row>
    <row r="1578" customHeight="1" spans="2:8">
      <c r="B1578" s="98"/>
      <c r="C1578" s="98"/>
      <c r="D1578" s="98"/>
      <c r="E1578" s="98"/>
      <c r="F1578" s="99"/>
      <c r="G1578" s="100"/>
      <c r="H1578" s="100"/>
    </row>
    <row r="1579" customHeight="1" spans="2:8">
      <c r="B1579" s="98"/>
      <c r="C1579" s="98"/>
      <c r="D1579" s="98"/>
      <c r="E1579" s="98"/>
      <c r="F1579" s="99"/>
      <c r="G1579" s="100"/>
      <c r="H1579" s="100"/>
    </row>
    <row r="1580" customHeight="1" spans="2:8">
      <c r="B1580" s="98"/>
      <c r="C1580" s="98"/>
      <c r="D1580" s="98"/>
      <c r="E1580" s="98"/>
      <c r="F1580" s="99"/>
      <c r="G1580" s="100"/>
      <c r="H1580" s="100"/>
    </row>
    <row r="1581" customHeight="1" spans="2:8">
      <c r="B1581" s="98"/>
      <c r="C1581" s="98"/>
      <c r="D1581" s="98"/>
      <c r="E1581" s="98"/>
      <c r="F1581" s="99"/>
      <c r="G1581" s="100"/>
      <c r="H1581" s="100"/>
    </row>
    <row r="1582" customHeight="1" spans="2:8">
      <c r="B1582" s="98"/>
      <c r="C1582" s="98"/>
      <c r="D1582" s="98"/>
      <c r="E1582" s="98"/>
      <c r="F1582" s="99"/>
      <c r="G1582" s="100"/>
      <c r="H1582" s="100"/>
    </row>
    <row r="1583" customHeight="1" spans="2:8">
      <c r="B1583" s="98"/>
      <c r="C1583" s="98"/>
      <c r="D1583" s="98"/>
      <c r="E1583" s="98"/>
      <c r="F1583" s="99"/>
      <c r="G1583" s="100"/>
      <c r="H1583" s="100"/>
    </row>
    <row r="1584" customHeight="1" spans="2:8">
      <c r="B1584" s="98"/>
      <c r="C1584" s="98"/>
      <c r="D1584" s="98"/>
      <c r="E1584" s="98"/>
      <c r="F1584" s="99"/>
      <c r="G1584" s="100"/>
      <c r="H1584" s="100"/>
    </row>
    <row r="1585" customHeight="1" spans="2:8">
      <c r="B1585" s="98"/>
      <c r="C1585" s="98"/>
      <c r="D1585" s="98"/>
      <c r="E1585" s="98"/>
      <c r="F1585" s="99"/>
      <c r="G1585" s="100"/>
      <c r="H1585" s="100"/>
    </row>
    <row r="1586" customHeight="1" spans="2:8">
      <c r="B1586" s="98"/>
      <c r="C1586" s="98"/>
      <c r="D1586" s="98"/>
      <c r="E1586" s="98"/>
      <c r="F1586" s="99"/>
      <c r="G1586" s="100"/>
      <c r="H1586" s="100"/>
    </row>
    <row r="1587" customHeight="1" spans="2:8">
      <c r="B1587" s="98"/>
      <c r="C1587" s="98"/>
      <c r="D1587" s="98"/>
      <c r="E1587" s="98"/>
      <c r="F1587" s="99"/>
      <c r="G1587" s="100"/>
      <c r="H1587" s="100"/>
    </row>
    <row r="1588" customHeight="1" spans="2:8">
      <c r="B1588" s="98"/>
      <c r="C1588" s="98"/>
      <c r="D1588" s="98"/>
      <c r="E1588" s="98"/>
      <c r="F1588" s="99"/>
      <c r="G1588" s="100"/>
      <c r="H1588" s="100"/>
    </row>
    <row r="1589" customHeight="1" spans="2:8">
      <c r="B1589" s="98"/>
      <c r="C1589" s="98"/>
      <c r="D1589" s="98"/>
      <c r="E1589" s="98"/>
      <c r="F1589" s="99"/>
      <c r="G1589" s="100"/>
      <c r="H1589" s="100"/>
    </row>
    <row r="1590" customHeight="1" spans="2:8">
      <c r="B1590" s="98"/>
      <c r="C1590" s="98"/>
      <c r="D1590" s="98"/>
      <c r="E1590" s="98"/>
      <c r="F1590" s="99"/>
      <c r="G1590" s="100"/>
      <c r="H1590" s="100"/>
    </row>
    <row r="1591" customHeight="1" spans="2:8">
      <c r="B1591" s="98"/>
      <c r="C1591" s="98"/>
      <c r="D1591" s="98"/>
      <c r="E1591" s="98"/>
      <c r="F1591" s="99"/>
      <c r="G1591" s="100"/>
      <c r="H1591" s="100"/>
    </row>
    <row r="1592" customHeight="1" spans="2:8">
      <c r="B1592" s="98"/>
      <c r="C1592" s="98"/>
      <c r="D1592" s="98"/>
      <c r="E1592" s="98"/>
      <c r="F1592" s="99"/>
      <c r="G1592" s="100"/>
      <c r="H1592" s="100"/>
    </row>
    <row r="1593" customHeight="1" spans="2:8">
      <c r="B1593" s="98"/>
      <c r="C1593" s="98"/>
      <c r="D1593" s="98"/>
      <c r="E1593" s="98"/>
      <c r="F1593" s="99"/>
      <c r="G1593" s="100"/>
      <c r="H1593" s="100"/>
    </row>
    <row r="1594" customHeight="1" spans="2:8">
      <c r="B1594" s="98"/>
      <c r="C1594" s="98"/>
      <c r="D1594" s="98"/>
      <c r="E1594" s="98"/>
      <c r="F1594" s="99"/>
      <c r="G1594" s="100"/>
      <c r="H1594" s="100"/>
    </row>
    <row r="1595" customHeight="1" spans="2:8">
      <c r="B1595" s="98"/>
      <c r="C1595" s="98"/>
      <c r="D1595" s="98"/>
      <c r="E1595" s="98"/>
      <c r="F1595" s="99"/>
      <c r="G1595" s="100"/>
      <c r="H1595" s="100"/>
    </row>
    <row r="1596" customHeight="1" spans="2:8">
      <c r="B1596" s="98"/>
      <c r="C1596" s="98"/>
      <c r="D1596" s="98"/>
      <c r="E1596" s="98"/>
      <c r="F1596" s="99"/>
      <c r="G1596" s="100"/>
      <c r="H1596" s="100"/>
    </row>
    <row r="1597" customHeight="1" spans="2:8">
      <c r="B1597" s="98"/>
      <c r="C1597" s="98"/>
      <c r="D1597" s="98"/>
      <c r="E1597" s="98"/>
      <c r="F1597" s="99"/>
      <c r="G1597" s="100"/>
      <c r="H1597" s="100"/>
    </row>
    <row r="1598" customHeight="1" spans="2:8">
      <c r="B1598" s="98"/>
      <c r="C1598" s="98"/>
      <c r="D1598" s="98"/>
      <c r="E1598" s="98"/>
      <c r="F1598" s="99"/>
      <c r="G1598" s="100"/>
      <c r="H1598" s="100"/>
    </row>
    <row r="1599" customHeight="1" spans="2:8">
      <c r="B1599" s="98"/>
      <c r="C1599" s="98"/>
      <c r="D1599" s="98"/>
      <c r="E1599" s="98"/>
      <c r="F1599" s="99"/>
      <c r="G1599" s="100"/>
      <c r="H1599" s="100"/>
    </row>
    <row r="1600" customHeight="1" spans="2:8">
      <c r="B1600" s="98"/>
      <c r="C1600" s="98"/>
      <c r="D1600" s="98"/>
      <c r="E1600" s="98"/>
      <c r="F1600" s="99"/>
      <c r="G1600" s="100"/>
      <c r="H1600" s="100"/>
    </row>
    <row r="1601" customHeight="1" spans="2:8">
      <c r="B1601" s="98"/>
      <c r="C1601" s="98"/>
      <c r="D1601" s="98"/>
      <c r="E1601" s="98"/>
      <c r="F1601" s="99"/>
      <c r="G1601" s="100"/>
      <c r="H1601" s="100"/>
    </row>
    <row r="1602" customHeight="1" spans="2:8">
      <c r="B1602" s="98"/>
      <c r="C1602" s="98"/>
      <c r="D1602" s="98"/>
      <c r="E1602" s="98"/>
      <c r="F1602" s="99"/>
      <c r="G1602" s="100"/>
      <c r="H1602" s="100"/>
    </row>
    <row r="1603" customHeight="1" spans="2:8">
      <c r="B1603" s="98"/>
      <c r="C1603" s="98"/>
      <c r="D1603" s="98"/>
      <c r="E1603" s="98"/>
      <c r="F1603" s="99"/>
      <c r="G1603" s="100"/>
      <c r="H1603" s="100"/>
    </row>
    <row r="1604" customHeight="1" spans="2:8">
      <c r="B1604" s="98"/>
      <c r="C1604" s="98"/>
      <c r="D1604" s="98"/>
      <c r="E1604" s="98"/>
      <c r="F1604" s="99"/>
      <c r="G1604" s="100"/>
      <c r="H1604" s="100"/>
    </row>
    <row r="1605" customHeight="1" spans="2:8">
      <c r="B1605" s="98"/>
      <c r="C1605" s="98"/>
      <c r="D1605" s="98"/>
      <c r="E1605" s="98"/>
      <c r="F1605" s="99"/>
      <c r="G1605" s="100"/>
      <c r="H1605" s="100"/>
    </row>
    <row r="1606" customHeight="1" spans="2:8">
      <c r="B1606" s="98"/>
      <c r="C1606" s="98"/>
      <c r="D1606" s="98"/>
      <c r="E1606" s="98"/>
      <c r="F1606" s="99"/>
      <c r="G1606" s="100"/>
      <c r="H1606" s="100"/>
    </row>
    <row r="1607" customHeight="1" spans="2:8">
      <c r="B1607" s="98"/>
      <c r="C1607" s="98"/>
      <c r="D1607" s="98"/>
      <c r="E1607" s="98"/>
      <c r="F1607" s="99"/>
      <c r="G1607" s="100"/>
      <c r="H1607" s="100"/>
    </row>
    <row r="1608" customHeight="1" spans="2:8">
      <c r="B1608" s="98"/>
      <c r="C1608" s="98"/>
      <c r="D1608" s="98"/>
      <c r="E1608" s="98"/>
      <c r="F1608" s="99"/>
      <c r="G1608" s="100"/>
      <c r="H1608" s="100"/>
    </row>
    <row r="1609" customHeight="1" spans="2:8">
      <c r="B1609" s="98"/>
      <c r="C1609" s="98"/>
      <c r="D1609" s="98"/>
      <c r="E1609" s="98"/>
      <c r="F1609" s="99"/>
      <c r="G1609" s="100"/>
      <c r="H1609" s="100"/>
    </row>
    <row r="1610" customHeight="1" spans="2:8">
      <c r="B1610" s="98"/>
      <c r="C1610" s="98"/>
      <c r="D1610" s="98"/>
      <c r="E1610" s="98"/>
      <c r="F1610" s="99"/>
      <c r="G1610" s="100"/>
      <c r="H1610" s="100"/>
    </row>
    <row r="1611" customHeight="1" spans="2:8">
      <c r="B1611" s="98"/>
      <c r="C1611" s="98"/>
      <c r="D1611" s="98"/>
      <c r="E1611" s="98"/>
      <c r="F1611" s="99"/>
      <c r="G1611" s="100"/>
      <c r="H1611" s="100"/>
    </row>
    <row r="1612" customHeight="1" spans="2:8">
      <c r="B1612" s="98"/>
      <c r="C1612" s="98"/>
      <c r="D1612" s="98"/>
      <c r="E1612" s="98"/>
      <c r="F1612" s="99"/>
      <c r="G1612" s="100"/>
      <c r="H1612" s="100"/>
    </row>
    <row r="1613" customHeight="1" spans="2:8">
      <c r="B1613" s="98"/>
      <c r="C1613" s="98"/>
      <c r="D1613" s="98"/>
      <c r="E1613" s="98"/>
      <c r="F1613" s="99"/>
      <c r="G1613" s="100"/>
      <c r="H1613" s="100"/>
    </row>
    <row r="1614" customHeight="1" spans="2:8">
      <c r="B1614" s="98"/>
      <c r="C1614" s="98"/>
      <c r="D1614" s="98"/>
      <c r="E1614" s="98"/>
      <c r="F1614" s="99"/>
      <c r="G1614" s="100"/>
      <c r="H1614" s="100"/>
    </row>
    <row r="1615" customHeight="1" spans="2:8">
      <c r="B1615" s="98"/>
      <c r="C1615" s="98"/>
      <c r="D1615" s="98"/>
      <c r="E1615" s="98"/>
      <c r="F1615" s="99"/>
      <c r="G1615" s="100"/>
      <c r="H1615" s="100"/>
    </row>
    <row r="1616" customHeight="1" spans="2:8">
      <c r="B1616" s="98"/>
      <c r="C1616" s="98"/>
      <c r="D1616" s="98"/>
      <c r="E1616" s="98"/>
      <c r="F1616" s="99"/>
      <c r="G1616" s="100"/>
      <c r="H1616" s="100"/>
    </row>
    <row r="1617" customHeight="1" spans="2:8">
      <c r="B1617" s="98"/>
      <c r="C1617" s="98"/>
      <c r="D1617" s="98"/>
      <c r="E1617" s="98"/>
      <c r="F1617" s="99"/>
      <c r="G1617" s="100"/>
      <c r="H1617" s="100"/>
    </row>
    <row r="1618" customHeight="1" spans="2:8">
      <c r="B1618" s="98"/>
      <c r="C1618" s="98"/>
      <c r="D1618" s="98"/>
      <c r="E1618" s="98"/>
      <c r="F1618" s="99"/>
      <c r="G1618" s="100"/>
      <c r="H1618" s="100"/>
    </row>
    <row r="1619" customHeight="1" spans="2:8">
      <c r="B1619" s="98"/>
      <c r="C1619" s="98"/>
      <c r="D1619" s="98"/>
      <c r="E1619" s="98"/>
      <c r="F1619" s="99"/>
      <c r="G1619" s="100"/>
      <c r="H1619" s="100"/>
    </row>
    <row r="1620" customHeight="1" spans="2:8">
      <c r="B1620" s="98"/>
      <c r="C1620" s="98"/>
      <c r="D1620" s="98"/>
      <c r="E1620" s="98"/>
      <c r="F1620" s="99"/>
      <c r="G1620" s="100"/>
      <c r="H1620" s="100"/>
    </row>
    <row r="1621" customHeight="1" spans="2:8">
      <c r="B1621" s="98"/>
      <c r="C1621" s="98"/>
      <c r="D1621" s="98"/>
      <c r="E1621" s="98"/>
      <c r="F1621" s="99"/>
      <c r="G1621" s="100"/>
      <c r="H1621" s="100"/>
    </row>
    <row r="1622" customHeight="1" spans="2:8">
      <c r="B1622" s="98"/>
      <c r="C1622" s="98"/>
      <c r="D1622" s="98"/>
      <c r="E1622" s="98"/>
      <c r="F1622" s="99"/>
      <c r="G1622" s="100"/>
      <c r="H1622" s="100"/>
    </row>
    <row r="1623" customHeight="1" spans="2:8">
      <c r="B1623" s="98"/>
      <c r="C1623" s="98"/>
      <c r="D1623" s="98"/>
      <c r="E1623" s="98"/>
      <c r="F1623" s="99"/>
      <c r="G1623" s="100"/>
      <c r="H1623" s="100"/>
    </row>
    <row r="1624" customHeight="1" spans="2:8">
      <c r="B1624" s="98"/>
      <c r="C1624" s="98"/>
      <c r="D1624" s="98"/>
      <c r="E1624" s="98"/>
      <c r="F1624" s="99"/>
      <c r="G1624" s="100"/>
      <c r="H1624" s="100"/>
    </row>
    <row r="1625" customHeight="1" spans="2:8">
      <c r="B1625" s="98"/>
      <c r="C1625" s="98"/>
      <c r="D1625" s="98"/>
      <c r="E1625" s="98"/>
      <c r="F1625" s="99"/>
      <c r="G1625" s="100"/>
      <c r="H1625" s="100"/>
    </row>
    <row r="1626" customHeight="1" spans="2:8">
      <c r="B1626" s="98"/>
      <c r="C1626" s="98"/>
      <c r="D1626" s="98"/>
      <c r="E1626" s="98"/>
      <c r="F1626" s="99"/>
      <c r="G1626" s="100"/>
      <c r="H1626" s="100"/>
    </row>
    <row r="1627" customHeight="1" spans="2:8">
      <c r="B1627" s="98"/>
      <c r="C1627" s="98"/>
      <c r="D1627" s="98"/>
      <c r="E1627" s="98"/>
      <c r="F1627" s="99"/>
      <c r="G1627" s="100"/>
      <c r="H1627" s="100"/>
    </row>
    <row r="1628" customHeight="1" spans="2:8">
      <c r="B1628" s="98"/>
      <c r="C1628" s="98"/>
      <c r="D1628" s="98"/>
      <c r="E1628" s="98"/>
      <c r="F1628" s="99"/>
      <c r="G1628" s="100"/>
      <c r="H1628" s="100"/>
    </row>
    <row r="1629" customHeight="1" spans="2:8">
      <c r="B1629" s="98"/>
      <c r="C1629" s="98"/>
      <c r="D1629" s="98"/>
      <c r="E1629" s="98"/>
      <c r="F1629" s="99"/>
      <c r="G1629" s="100"/>
      <c r="H1629" s="100"/>
    </row>
    <row r="1630" customHeight="1" spans="2:8">
      <c r="B1630" s="98"/>
      <c r="C1630" s="98"/>
      <c r="D1630" s="98"/>
      <c r="E1630" s="98"/>
      <c r="F1630" s="99"/>
      <c r="G1630" s="100"/>
      <c r="H1630" s="100"/>
    </row>
    <row r="1631" customHeight="1" spans="2:8">
      <c r="B1631" s="98"/>
      <c r="C1631" s="98"/>
      <c r="D1631" s="98"/>
      <c r="E1631" s="98"/>
      <c r="F1631" s="99"/>
      <c r="G1631" s="100"/>
      <c r="H1631" s="100"/>
    </row>
    <row r="1632" customHeight="1" spans="2:8">
      <c r="B1632" s="98"/>
      <c r="C1632" s="98"/>
      <c r="D1632" s="98"/>
      <c r="E1632" s="98"/>
      <c r="F1632" s="99"/>
      <c r="G1632" s="100"/>
      <c r="H1632" s="100"/>
    </row>
    <row r="1633" customHeight="1" spans="2:8">
      <c r="B1633" s="98"/>
      <c r="C1633" s="98"/>
      <c r="D1633" s="98"/>
      <c r="E1633" s="98"/>
      <c r="F1633" s="99"/>
      <c r="G1633" s="100"/>
      <c r="H1633" s="100"/>
    </row>
    <row r="1634" customHeight="1" spans="2:8">
      <c r="B1634" s="98"/>
      <c r="C1634" s="98"/>
      <c r="D1634" s="98"/>
      <c r="E1634" s="98"/>
      <c r="F1634" s="99"/>
      <c r="G1634" s="100"/>
      <c r="H1634" s="100"/>
    </row>
    <row r="1635" customHeight="1" spans="2:8">
      <c r="B1635" s="98"/>
      <c r="C1635" s="98"/>
      <c r="D1635" s="98"/>
      <c r="E1635" s="98"/>
      <c r="F1635" s="99"/>
      <c r="G1635" s="100"/>
      <c r="H1635" s="100"/>
    </row>
    <row r="1636" customHeight="1" spans="2:8">
      <c r="B1636" s="98"/>
      <c r="C1636" s="98"/>
      <c r="D1636" s="98"/>
      <c r="E1636" s="98"/>
      <c r="F1636" s="99"/>
      <c r="G1636" s="100"/>
      <c r="H1636" s="100"/>
    </row>
    <row r="1637" customHeight="1" spans="2:8">
      <c r="B1637" s="98"/>
      <c r="C1637" s="98"/>
      <c r="D1637" s="98"/>
      <c r="E1637" s="98"/>
      <c r="F1637" s="99"/>
      <c r="G1637" s="100"/>
      <c r="H1637" s="100"/>
    </row>
    <row r="1638" customHeight="1" spans="2:8">
      <c r="B1638" s="98"/>
      <c r="C1638" s="98"/>
      <c r="D1638" s="98"/>
      <c r="E1638" s="98"/>
      <c r="F1638" s="99"/>
      <c r="G1638" s="100"/>
      <c r="H1638" s="100"/>
    </row>
    <row r="1639" customHeight="1" spans="2:8">
      <c r="B1639" s="98"/>
      <c r="C1639" s="98"/>
      <c r="D1639" s="98"/>
      <c r="E1639" s="98"/>
      <c r="F1639" s="99"/>
      <c r="G1639" s="100"/>
      <c r="H1639" s="100"/>
    </row>
    <row r="1640" customHeight="1" spans="2:8">
      <c r="B1640" s="98"/>
      <c r="C1640" s="98"/>
      <c r="D1640" s="98"/>
      <c r="E1640" s="98"/>
      <c r="F1640" s="99"/>
      <c r="G1640" s="100"/>
      <c r="H1640" s="100"/>
    </row>
    <row r="1641" customHeight="1" spans="2:8">
      <c r="B1641" s="98"/>
      <c r="C1641" s="98"/>
      <c r="D1641" s="98"/>
      <c r="E1641" s="98"/>
      <c r="F1641" s="99"/>
      <c r="G1641" s="100"/>
      <c r="H1641" s="100"/>
    </row>
    <row r="1642" customHeight="1" spans="2:8">
      <c r="B1642" s="98"/>
      <c r="C1642" s="98"/>
      <c r="D1642" s="98"/>
      <c r="E1642" s="98"/>
      <c r="F1642" s="99"/>
      <c r="G1642" s="100"/>
      <c r="H1642" s="100"/>
    </row>
    <row r="1643" customHeight="1" spans="2:8">
      <c r="B1643" s="98"/>
      <c r="C1643" s="98"/>
      <c r="D1643" s="98"/>
      <c r="E1643" s="98"/>
      <c r="F1643" s="99"/>
      <c r="G1643" s="100"/>
      <c r="H1643" s="100"/>
    </row>
    <row r="1644" customHeight="1" spans="2:8">
      <c r="B1644" s="98"/>
      <c r="C1644" s="98"/>
      <c r="D1644" s="98"/>
      <c r="E1644" s="98"/>
      <c r="F1644" s="99"/>
      <c r="G1644" s="100"/>
      <c r="H1644" s="100"/>
    </row>
    <row r="1645" customHeight="1" spans="2:8">
      <c r="B1645" s="98"/>
      <c r="C1645" s="98"/>
      <c r="D1645" s="98"/>
      <c r="E1645" s="98"/>
      <c r="F1645" s="99"/>
      <c r="G1645" s="100"/>
      <c r="H1645" s="100"/>
    </row>
    <row r="1646" customHeight="1" spans="2:8">
      <c r="B1646" s="98"/>
      <c r="C1646" s="98"/>
      <c r="D1646" s="98"/>
      <c r="E1646" s="98"/>
      <c r="F1646" s="99"/>
      <c r="G1646" s="100"/>
      <c r="H1646" s="100"/>
    </row>
    <row r="1647" customHeight="1" spans="2:8">
      <c r="B1647" s="98"/>
      <c r="C1647" s="98"/>
      <c r="D1647" s="98"/>
      <c r="E1647" s="98"/>
      <c r="F1647" s="99"/>
      <c r="G1647" s="100"/>
      <c r="H1647" s="100"/>
    </row>
    <row r="1648" customHeight="1" spans="2:8">
      <c r="B1648" s="98"/>
      <c r="C1648" s="98"/>
      <c r="D1648" s="98"/>
      <c r="E1648" s="98"/>
      <c r="F1648" s="99"/>
      <c r="G1648" s="100"/>
      <c r="H1648" s="100"/>
    </row>
    <row r="1649" customHeight="1" spans="2:8">
      <c r="B1649" s="98"/>
      <c r="C1649" s="98"/>
      <c r="D1649" s="98"/>
      <c r="E1649" s="98"/>
      <c r="F1649" s="99"/>
      <c r="G1649" s="100"/>
      <c r="H1649" s="100"/>
    </row>
    <row r="1650" customHeight="1" spans="2:8">
      <c r="B1650" s="98"/>
      <c r="C1650" s="98"/>
      <c r="D1650" s="98"/>
      <c r="E1650" s="98"/>
      <c r="F1650" s="99"/>
      <c r="G1650" s="100"/>
      <c r="H1650" s="100"/>
    </row>
    <row r="1651" customHeight="1" spans="2:8">
      <c r="B1651" s="98"/>
      <c r="C1651" s="98"/>
      <c r="D1651" s="98"/>
      <c r="E1651" s="98"/>
      <c r="F1651" s="99"/>
      <c r="G1651" s="100"/>
      <c r="H1651" s="100"/>
    </row>
    <row r="1652" customHeight="1" spans="2:8">
      <c r="B1652" s="98"/>
      <c r="C1652" s="98"/>
      <c r="D1652" s="98"/>
      <c r="E1652" s="98"/>
      <c r="F1652" s="99"/>
      <c r="G1652" s="100"/>
      <c r="H1652" s="100"/>
    </row>
    <row r="1653" customHeight="1" spans="2:8">
      <c r="B1653" s="98"/>
      <c r="C1653" s="98"/>
      <c r="D1653" s="98"/>
      <c r="E1653" s="98"/>
      <c r="F1653" s="99"/>
      <c r="G1653" s="100"/>
      <c r="H1653" s="100"/>
    </row>
    <row r="1654" customHeight="1" spans="2:8">
      <c r="B1654" s="98"/>
      <c r="C1654" s="98"/>
      <c r="D1654" s="98"/>
      <c r="E1654" s="98"/>
      <c r="F1654" s="99"/>
      <c r="G1654" s="100"/>
      <c r="H1654" s="100"/>
    </row>
    <row r="1655" customHeight="1" spans="2:8">
      <c r="B1655" s="98"/>
      <c r="C1655" s="98"/>
      <c r="D1655" s="98"/>
      <c r="E1655" s="98"/>
      <c r="F1655" s="99"/>
      <c r="G1655" s="100"/>
      <c r="H1655" s="100"/>
    </row>
    <row r="1656" customHeight="1" spans="2:8">
      <c r="B1656" s="98"/>
      <c r="C1656" s="98"/>
      <c r="D1656" s="98"/>
      <c r="E1656" s="98"/>
      <c r="F1656" s="99"/>
      <c r="G1656" s="100"/>
      <c r="H1656" s="100"/>
    </row>
    <row r="1657" customHeight="1" spans="2:8">
      <c r="B1657" s="98"/>
      <c r="C1657" s="98"/>
      <c r="D1657" s="98"/>
      <c r="E1657" s="98"/>
      <c r="F1657" s="99"/>
      <c r="G1657" s="100"/>
      <c r="H1657" s="100"/>
    </row>
    <row r="1658" customHeight="1" spans="2:8">
      <c r="B1658" s="98"/>
      <c r="C1658" s="98"/>
      <c r="D1658" s="98"/>
      <c r="E1658" s="98"/>
      <c r="F1658" s="99"/>
      <c r="G1658" s="100"/>
      <c r="H1658" s="100"/>
    </row>
    <row r="1659" customHeight="1" spans="2:8">
      <c r="B1659" s="98"/>
      <c r="C1659" s="98"/>
      <c r="D1659" s="98"/>
      <c r="E1659" s="98"/>
      <c r="F1659" s="99"/>
      <c r="G1659" s="100"/>
      <c r="H1659" s="100"/>
    </row>
    <row r="1660" customHeight="1" spans="2:8">
      <c r="B1660" s="98"/>
      <c r="C1660" s="98"/>
      <c r="D1660" s="98"/>
      <c r="E1660" s="98"/>
      <c r="F1660" s="99"/>
      <c r="G1660" s="100"/>
      <c r="H1660" s="100"/>
    </row>
    <row r="1661" customHeight="1" spans="2:8">
      <c r="B1661" s="98"/>
      <c r="C1661" s="98"/>
      <c r="D1661" s="98"/>
      <c r="E1661" s="98"/>
      <c r="F1661" s="99"/>
      <c r="G1661" s="100"/>
      <c r="H1661" s="100"/>
    </row>
    <row r="1662" customHeight="1" spans="2:8">
      <c r="B1662" s="98"/>
      <c r="C1662" s="98"/>
      <c r="D1662" s="98"/>
      <c r="E1662" s="98"/>
      <c r="F1662" s="99"/>
      <c r="G1662" s="100"/>
      <c r="H1662" s="100"/>
    </row>
    <row r="1663" customHeight="1" spans="2:8">
      <c r="B1663" s="98"/>
      <c r="C1663" s="98"/>
      <c r="D1663" s="98"/>
      <c r="E1663" s="98"/>
      <c r="F1663" s="99"/>
      <c r="G1663" s="100"/>
      <c r="H1663" s="100"/>
    </row>
    <row r="1664" customHeight="1" spans="2:8">
      <c r="B1664" s="98"/>
      <c r="C1664" s="98"/>
      <c r="D1664" s="98"/>
      <c r="E1664" s="98"/>
      <c r="F1664" s="99"/>
      <c r="G1664" s="100"/>
      <c r="H1664" s="100"/>
    </row>
    <row r="1665" customHeight="1" spans="2:8">
      <c r="B1665" s="98"/>
      <c r="C1665" s="98"/>
      <c r="D1665" s="98"/>
      <c r="E1665" s="98"/>
      <c r="F1665" s="99"/>
      <c r="G1665" s="100"/>
      <c r="H1665" s="100"/>
    </row>
    <row r="1666" customHeight="1" spans="2:8">
      <c r="B1666" s="98"/>
      <c r="C1666" s="98"/>
      <c r="D1666" s="98"/>
      <c r="E1666" s="98"/>
      <c r="F1666" s="99"/>
      <c r="G1666" s="100"/>
      <c r="H1666" s="100"/>
    </row>
    <row r="1667" customHeight="1" spans="2:8">
      <c r="B1667" s="98"/>
      <c r="C1667" s="98"/>
      <c r="D1667" s="98"/>
      <c r="E1667" s="98"/>
      <c r="F1667" s="99"/>
      <c r="G1667" s="100"/>
      <c r="H1667" s="100"/>
    </row>
    <row r="1668" customHeight="1" spans="2:8">
      <c r="B1668" s="98"/>
      <c r="C1668" s="98"/>
      <c r="D1668" s="98"/>
      <c r="E1668" s="98"/>
      <c r="F1668" s="99"/>
      <c r="G1668" s="100"/>
      <c r="H1668" s="100"/>
    </row>
    <row r="1669" customHeight="1" spans="2:8">
      <c r="B1669" s="98"/>
      <c r="C1669" s="98"/>
      <c r="D1669" s="98"/>
      <c r="E1669" s="98"/>
      <c r="F1669" s="99"/>
      <c r="G1669" s="100"/>
      <c r="H1669" s="100"/>
    </row>
    <row r="1670" customHeight="1" spans="2:8">
      <c r="B1670" s="98"/>
      <c r="C1670" s="98"/>
      <c r="D1670" s="98"/>
      <c r="E1670" s="98"/>
      <c r="F1670" s="99"/>
      <c r="G1670" s="100"/>
      <c r="H1670" s="100"/>
    </row>
    <row r="1671" customHeight="1" spans="2:8">
      <c r="B1671" s="98"/>
      <c r="C1671" s="98"/>
      <c r="D1671" s="98"/>
      <c r="E1671" s="98"/>
      <c r="F1671" s="99"/>
      <c r="G1671" s="100"/>
      <c r="H1671" s="100"/>
    </row>
    <row r="1672" customHeight="1" spans="2:8">
      <c r="B1672" s="98"/>
      <c r="C1672" s="98"/>
      <c r="D1672" s="98"/>
      <c r="E1672" s="98"/>
      <c r="F1672" s="99"/>
      <c r="G1672" s="100"/>
      <c r="H1672" s="100"/>
    </row>
    <row r="1673" customHeight="1" spans="2:8">
      <c r="B1673" s="98"/>
      <c r="C1673" s="98"/>
      <c r="D1673" s="98"/>
      <c r="E1673" s="98"/>
      <c r="F1673" s="99"/>
      <c r="G1673" s="100"/>
      <c r="H1673" s="100"/>
    </row>
    <row r="1674" customHeight="1" spans="2:8">
      <c r="B1674" s="98"/>
      <c r="C1674" s="98"/>
      <c r="D1674" s="98"/>
      <c r="E1674" s="98"/>
      <c r="F1674" s="99"/>
      <c r="G1674" s="100"/>
      <c r="H1674" s="100"/>
    </row>
    <row r="1675" customHeight="1" spans="2:8">
      <c r="B1675" s="98"/>
      <c r="C1675" s="98"/>
      <c r="D1675" s="98"/>
      <c r="E1675" s="98"/>
      <c r="F1675" s="99"/>
      <c r="G1675" s="100"/>
      <c r="H1675" s="100"/>
    </row>
    <row r="1676" customHeight="1" spans="2:8">
      <c r="B1676" s="98"/>
      <c r="C1676" s="98"/>
      <c r="D1676" s="98"/>
      <c r="E1676" s="98"/>
      <c r="F1676" s="99"/>
      <c r="G1676" s="100"/>
      <c r="H1676" s="100"/>
    </row>
    <row r="1677" customHeight="1" spans="2:8">
      <c r="B1677" s="98"/>
      <c r="C1677" s="98"/>
      <c r="D1677" s="98"/>
      <c r="E1677" s="98"/>
      <c r="F1677" s="99"/>
      <c r="G1677" s="100"/>
      <c r="H1677" s="100"/>
    </row>
    <row r="1678" customHeight="1" spans="2:8">
      <c r="B1678" s="98"/>
      <c r="C1678" s="98"/>
      <c r="D1678" s="98"/>
      <c r="E1678" s="98"/>
      <c r="F1678" s="99"/>
      <c r="G1678" s="100"/>
      <c r="H1678" s="100"/>
    </row>
    <row r="1679" customHeight="1" spans="2:8">
      <c r="B1679" s="98"/>
      <c r="C1679" s="98"/>
      <c r="D1679" s="98"/>
      <c r="E1679" s="98"/>
      <c r="F1679" s="99"/>
      <c r="G1679" s="100"/>
      <c r="H1679" s="100"/>
    </row>
    <row r="1680" customHeight="1" spans="2:8">
      <c r="B1680" s="98"/>
      <c r="C1680" s="98"/>
      <c r="D1680" s="98"/>
      <c r="E1680" s="98"/>
      <c r="F1680" s="99"/>
      <c r="G1680" s="100"/>
      <c r="H1680" s="100"/>
    </row>
    <row r="1681" customHeight="1" spans="2:8">
      <c r="B1681" s="98"/>
      <c r="C1681" s="98"/>
      <c r="D1681" s="98"/>
      <c r="E1681" s="98"/>
      <c r="F1681" s="99"/>
      <c r="G1681" s="100"/>
      <c r="H1681" s="100"/>
    </row>
    <row r="1682" customHeight="1" spans="2:8">
      <c r="B1682" s="98"/>
      <c r="C1682" s="98"/>
      <c r="D1682" s="98"/>
      <c r="E1682" s="98"/>
      <c r="F1682" s="99"/>
      <c r="G1682" s="100"/>
      <c r="H1682" s="100"/>
    </row>
    <row r="1683" customHeight="1" spans="2:8">
      <c r="B1683" s="98"/>
      <c r="C1683" s="98"/>
      <c r="D1683" s="98"/>
      <c r="E1683" s="98"/>
      <c r="F1683" s="99"/>
      <c r="G1683" s="100"/>
      <c r="H1683" s="100"/>
    </row>
    <row r="1684" customHeight="1" spans="2:8">
      <c r="B1684" s="98"/>
      <c r="C1684" s="98"/>
      <c r="D1684" s="98"/>
      <c r="E1684" s="98"/>
      <c r="F1684" s="99"/>
      <c r="G1684" s="100"/>
      <c r="H1684" s="100"/>
    </row>
    <row r="1685" customHeight="1" spans="2:8">
      <c r="B1685" s="98"/>
      <c r="C1685" s="98"/>
      <c r="D1685" s="98"/>
      <c r="E1685" s="98"/>
      <c r="F1685" s="99"/>
      <c r="G1685" s="100"/>
      <c r="H1685" s="100"/>
    </row>
    <row r="1686" customHeight="1" spans="2:8">
      <c r="B1686" s="98"/>
      <c r="C1686" s="98"/>
      <c r="D1686" s="98"/>
      <c r="E1686" s="98"/>
      <c r="F1686" s="99"/>
      <c r="G1686" s="100"/>
      <c r="H1686" s="100"/>
    </row>
    <row r="1687" customHeight="1" spans="2:8">
      <c r="B1687" s="98"/>
      <c r="C1687" s="98"/>
      <c r="D1687" s="98"/>
      <c r="E1687" s="98"/>
      <c r="F1687" s="99"/>
      <c r="G1687" s="100"/>
      <c r="H1687" s="100"/>
    </row>
    <row r="1688" customHeight="1" spans="2:8">
      <c r="B1688" s="98"/>
      <c r="C1688" s="98"/>
      <c r="D1688" s="98"/>
      <c r="E1688" s="98"/>
      <c r="F1688" s="99"/>
      <c r="G1688" s="100"/>
      <c r="H1688" s="100"/>
    </row>
    <row r="1689" customHeight="1" spans="2:8">
      <c r="B1689" s="98"/>
      <c r="C1689" s="98"/>
      <c r="D1689" s="98"/>
      <c r="E1689" s="98"/>
      <c r="F1689" s="99"/>
      <c r="G1689" s="100"/>
      <c r="H1689" s="100"/>
    </row>
    <row r="1690" customHeight="1" spans="2:8">
      <c r="B1690" s="98"/>
      <c r="C1690" s="98"/>
      <c r="D1690" s="98"/>
      <c r="E1690" s="98"/>
      <c r="F1690" s="99"/>
      <c r="G1690" s="100"/>
      <c r="H1690" s="100"/>
    </row>
    <row r="1691" customHeight="1" spans="2:8">
      <c r="B1691" s="98"/>
      <c r="C1691" s="98"/>
      <c r="D1691" s="98"/>
      <c r="E1691" s="98"/>
      <c r="F1691" s="99"/>
      <c r="G1691" s="100"/>
      <c r="H1691" s="100"/>
    </row>
    <row r="1692" customHeight="1" spans="2:8">
      <c r="B1692" s="98"/>
      <c r="C1692" s="98"/>
      <c r="D1692" s="98"/>
      <c r="E1692" s="98"/>
      <c r="F1692" s="99"/>
      <c r="G1692" s="100"/>
      <c r="H1692" s="100"/>
    </row>
    <row r="1693" customHeight="1" spans="2:8">
      <c r="B1693" s="98"/>
      <c r="C1693" s="98"/>
      <c r="D1693" s="98"/>
      <c r="E1693" s="98"/>
      <c r="F1693" s="99"/>
      <c r="G1693" s="100"/>
      <c r="H1693" s="100"/>
    </row>
    <row r="1694" customHeight="1" spans="2:8">
      <c r="B1694" s="98"/>
      <c r="C1694" s="98"/>
      <c r="D1694" s="98"/>
      <c r="E1694" s="98"/>
      <c r="F1694" s="99"/>
      <c r="G1694" s="100"/>
      <c r="H1694" s="100"/>
    </row>
    <row r="1695" customHeight="1" spans="2:8">
      <c r="B1695" s="98"/>
      <c r="C1695" s="98"/>
      <c r="D1695" s="98"/>
      <c r="E1695" s="98"/>
      <c r="F1695" s="99"/>
      <c r="G1695" s="100"/>
      <c r="H1695" s="100"/>
    </row>
    <row r="1696" customHeight="1" spans="2:8">
      <c r="B1696" s="98"/>
      <c r="C1696" s="98"/>
      <c r="D1696" s="98"/>
      <c r="E1696" s="98"/>
      <c r="F1696" s="99"/>
      <c r="G1696" s="100"/>
      <c r="H1696" s="100"/>
    </row>
    <row r="1697" customHeight="1" spans="2:8">
      <c r="B1697" s="98"/>
      <c r="C1697" s="98"/>
      <c r="D1697" s="98"/>
      <c r="E1697" s="98"/>
      <c r="F1697" s="99"/>
      <c r="G1697" s="100"/>
      <c r="H1697" s="100"/>
    </row>
    <row r="1698" customHeight="1" spans="2:8">
      <c r="B1698" s="98"/>
      <c r="C1698" s="98"/>
      <c r="D1698" s="98"/>
      <c r="E1698" s="98"/>
      <c r="F1698" s="99"/>
      <c r="G1698" s="100"/>
      <c r="H1698" s="100"/>
    </row>
    <row r="1699" customHeight="1" spans="2:8">
      <c r="B1699" s="98"/>
      <c r="C1699" s="98"/>
      <c r="D1699" s="98"/>
      <c r="E1699" s="98"/>
      <c r="F1699" s="99"/>
      <c r="G1699" s="100"/>
      <c r="H1699" s="100"/>
    </row>
    <row r="1700" customHeight="1" spans="2:8">
      <c r="B1700" s="98"/>
      <c r="C1700" s="98"/>
      <c r="D1700" s="98"/>
      <c r="E1700" s="98"/>
      <c r="F1700" s="99"/>
      <c r="G1700" s="100"/>
      <c r="H1700" s="100"/>
    </row>
    <row r="1701" customHeight="1" spans="2:8">
      <c r="B1701" s="98"/>
      <c r="C1701" s="98"/>
      <c r="D1701" s="98"/>
      <c r="E1701" s="98"/>
      <c r="F1701" s="99"/>
      <c r="G1701" s="100"/>
      <c r="H1701" s="100"/>
    </row>
    <row r="1702" customHeight="1" spans="2:8">
      <c r="B1702" s="98"/>
      <c r="C1702" s="98"/>
      <c r="D1702" s="98"/>
      <c r="E1702" s="98"/>
      <c r="F1702" s="99"/>
      <c r="G1702" s="100"/>
      <c r="H1702" s="100"/>
    </row>
    <row r="1703" customHeight="1" spans="2:8">
      <c r="B1703" s="98"/>
      <c r="C1703" s="98"/>
      <c r="D1703" s="98"/>
      <c r="E1703" s="98"/>
      <c r="F1703" s="99"/>
      <c r="G1703" s="100"/>
      <c r="H1703" s="100"/>
    </row>
    <row r="1704" customHeight="1" spans="2:8">
      <c r="B1704" s="98"/>
      <c r="C1704" s="98"/>
      <c r="D1704" s="98"/>
      <c r="E1704" s="98"/>
      <c r="F1704" s="99"/>
      <c r="G1704" s="100"/>
      <c r="H1704" s="100"/>
    </row>
    <row r="1705" customHeight="1" spans="2:8">
      <c r="B1705" s="98"/>
      <c r="C1705" s="98"/>
      <c r="D1705" s="98"/>
      <c r="E1705" s="98"/>
      <c r="F1705" s="99"/>
      <c r="G1705" s="100"/>
      <c r="H1705" s="100"/>
    </row>
    <row r="1706" customHeight="1" spans="2:8">
      <c r="B1706" s="98"/>
      <c r="C1706" s="98"/>
      <c r="D1706" s="98"/>
      <c r="E1706" s="98"/>
      <c r="F1706" s="99"/>
      <c r="G1706" s="100"/>
      <c r="H1706" s="100"/>
    </row>
    <row r="1707" customHeight="1" spans="2:8">
      <c r="B1707" s="98"/>
      <c r="C1707" s="98"/>
      <c r="D1707" s="98"/>
      <c r="E1707" s="98"/>
      <c r="F1707" s="99"/>
      <c r="G1707" s="100"/>
      <c r="H1707" s="100"/>
    </row>
    <row r="1708" customHeight="1" spans="2:8">
      <c r="B1708" s="98"/>
      <c r="C1708" s="98"/>
      <c r="D1708" s="98"/>
      <c r="E1708" s="98"/>
      <c r="F1708" s="99"/>
      <c r="G1708" s="100"/>
      <c r="H1708" s="100"/>
    </row>
    <row r="1709" customHeight="1" spans="2:8">
      <c r="B1709" s="98"/>
      <c r="C1709" s="98"/>
      <c r="D1709" s="98"/>
      <c r="E1709" s="98"/>
      <c r="F1709" s="99"/>
      <c r="G1709" s="100"/>
      <c r="H1709" s="100"/>
    </row>
    <row r="1710" customHeight="1" spans="2:8">
      <c r="B1710" s="98"/>
      <c r="C1710" s="98"/>
      <c r="D1710" s="98"/>
      <c r="E1710" s="98"/>
      <c r="F1710" s="99"/>
      <c r="G1710" s="100"/>
      <c r="H1710" s="100"/>
    </row>
    <row r="1711" customHeight="1" spans="2:8">
      <c r="B1711" s="98"/>
      <c r="C1711" s="98"/>
      <c r="D1711" s="98"/>
      <c r="E1711" s="98"/>
      <c r="F1711" s="99"/>
      <c r="G1711" s="100"/>
      <c r="H1711" s="100"/>
    </row>
    <row r="1712" customHeight="1" spans="2:8">
      <c r="B1712" s="98"/>
      <c r="C1712" s="98"/>
      <c r="D1712" s="98"/>
      <c r="E1712" s="98"/>
      <c r="F1712" s="99"/>
      <c r="G1712" s="100"/>
      <c r="H1712" s="100"/>
    </row>
    <row r="1713" customHeight="1" spans="2:8">
      <c r="B1713" s="98"/>
      <c r="C1713" s="98"/>
      <c r="D1713" s="98"/>
      <c r="E1713" s="98"/>
      <c r="F1713" s="99"/>
      <c r="G1713" s="100"/>
      <c r="H1713" s="100"/>
    </row>
    <row r="1714" customHeight="1" spans="2:8">
      <c r="B1714" s="98"/>
      <c r="C1714" s="98"/>
      <c r="D1714" s="98"/>
      <c r="E1714" s="98"/>
      <c r="F1714" s="99"/>
      <c r="G1714" s="100"/>
      <c r="H1714" s="100"/>
    </row>
    <row r="1715" customHeight="1" spans="2:8">
      <c r="B1715" s="98"/>
      <c r="C1715" s="98"/>
      <c r="D1715" s="98"/>
      <c r="E1715" s="98"/>
      <c r="F1715" s="99"/>
      <c r="G1715" s="100"/>
      <c r="H1715" s="100"/>
    </row>
    <row r="1716" customHeight="1" spans="2:8">
      <c r="B1716" s="98"/>
      <c r="C1716" s="98"/>
      <c r="D1716" s="98"/>
      <c r="E1716" s="98"/>
      <c r="F1716" s="99"/>
      <c r="G1716" s="100"/>
      <c r="H1716" s="100"/>
    </row>
    <row r="1717" customHeight="1" spans="2:8">
      <c r="B1717" s="98"/>
      <c r="C1717" s="98"/>
      <c r="D1717" s="98"/>
      <c r="E1717" s="98"/>
      <c r="F1717" s="99"/>
      <c r="G1717" s="100"/>
      <c r="H1717" s="100"/>
    </row>
    <row r="1718" customHeight="1" spans="2:8">
      <c r="B1718" s="98"/>
      <c r="C1718" s="98"/>
      <c r="D1718" s="98"/>
      <c r="E1718" s="98"/>
      <c r="F1718" s="99"/>
      <c r="G1718" s="100"/>
      <c r="H1718" s="100"/>
    </row>
    <row r="1719" customHeight="1" spans="2:8">
      <c r="B1719" s="98"/>
      <c r="C1719" s="98"/>
      <c r="D1719" s="98"/>
      <c r="E1719" s="98"/>
      <c r="F1719" s="99"/>
      <c r="G1719" s="100"/>
      <c r="H1719" s="100"/>
    </row>
    <row r="1720" customHeight="1" spans="2:8">
      <c r="B1720" s="98"/>
      <c r="C1720" s="98"/>
      <c r="D1720" s="98"/>
      <c r="E1720" s="98"/>
      <c r="F1720" s="99"/>
      <c r="G1720" s="100"/>
      <c r="H1720" s="100"/>
    </row>
    <row r="1721" customHeight="1" spans="2:8">
      <c r="B1721" s="98"/>
      <c r="C1721" s="98"/>
      <c r="D1721" s="98"/>
      <c r="E1721" s="98"/>
      <c r="F1721" s="99"/>
      <c r="G1721" s="100"/>
      <c r="H1721" s="100"/>
    </row>
    <row r="1722" customHeight="1" spans="2:8">
      <c r="B1722" s="98"/>
      <c r="C1722" s="98"/>
      <c r="D1722" s="98"/>
      <c r="E1722" s="98"/>
      <c r="F1722" s="99"/>
      <c r="G1722" s="100"/>
      <c r="H1722" s="100"/>
    </row>
    <row r="1723" customHeight="1" spans="2:8">
      <c r="B1723" s="98"/>
      <c r="C1723" s="98"/>
      <c r="D1723" s="98"/>
      <c r="E1723" s="98"/>
      <c r="F1723" s="99"/>
      <c r="G1723" s="100"/>
      <c r="H1723" s="100"/>
    </row>
    <row r="1724" customHeight="1" spans="2:8">
      <c r="B1724" s="98"/>
      <c r="C1724" s="98"/>
      <c r="D1724" s="98"/>
      <c r="E1724" s="98"/>
      <c r="F1724" s="99"/>
      <c r="G1724" s="100"/>
      <c r="H1724" s="100"/>
    </row>
    <row r="1725" customHeight="1" spans="2:8">
      <c r="B1725" s="98"/>
      <c r="C1725" s="98"/>
      <c r="D1725" s="98"/>
      <c r="E1725" s="98"/>
      <c r="F1725" s="99"/>
      <c r="G1725" s="100"/>
      <c r="H1725" s="100"/>
    </row>
    <row r="1726" customHeight="1" spans="2:8">
      <c r="B1726" s="98"/>
      <c r="C1726" s="98"/>
      <c r="D1726" s="98"/>
      <c r="E1726" s="98"/>
      <c r="F1726" s="99"/>
      <c r="G1726" s="100"/>
      <c r="H1726" s="100"/>
    </row>
    <row r="1727" customHeight="1" spans="2:8">
      <c r="B1727" s="98"/>
      <c r="C1727" s="98"/>
      <c r="D1727" s="98"/>
      <c r="E1727" s="98"/>
      <c r="F1727" s="99"/>
      <c r="G1727" s="100"/>
      <c r="H1727" s="100"/>
    </row>
    <row r="1728" customHeight="1" spans="2:8">
      <c r="B1728" s="98"/>
      <c r="C1728" s="98"/>
      <c r="D1728" s="98"/>
      <c r="E1728" s="98"/>
      <c r="F1728" s="99"/>
      <c r="G1728" s="100"/>
      <c r="H1728" s="100"/>
    </row>
    <row r="1729" customHeight="1" spans="2:8">
      <c r="B1729" s="98"/>
      <c r="C1729" s="98"/>
      <c r="D1729" s="98"/>
      <c r="E1729" s="98"/>
      <c r="F1729" s="99"/>
      <c r="G1729" s="100"/>
      <c r="H1729" s="100"/>
    </row>
    <row r="1730" customHeight="1" spans="2:8">
      <c r="B1730" s="98"/>
      <c r="C1730" s="98"/>
      <c r="D1730" s="98"/>
      <c r="E1730" s="98"/>
      <c r="F1730" s="99"/>
      <c r="G1730" s="100"/>
      <c r="H1730" s="100"/>
    </row>
    <row r="1731" customHeight="1" spans="2:8">
      <c r="B1731" s="98"/>
      <c r="C1731" s="98"/>
      <c r="D1731" s="98"/>
      <c r="E1731" s="98"/>
      <c r="F1731" s="99"/>
      <c r="G1731" s="100"/>
      <c r="H1731" s="100"/>
    </row>
    <row r="1732" customHeight="1" spans="2:8">
      <c r="B1732" s="98"/>
      <c r="C1732" s="98"/>
      <c r="D1732" s="98"/>
      <c r="E1732" s="98"/>
      <c r="F1732" s="99"/>
      <c r="G1732" s="100"/>
      <c r="H1732" s="100"/>
    </row>
    <row r="1733" customHeight="1" spans="2:8">
      <c r="B1733" s="98"/>
      <c r="C1733" s="98"/>
      <c r="D1733" s="98"/>
      <c r="E1733" s="98"/>
      <c r="F1733" s="99"/>
      <c r="G1733" s="100"/>
      <c r="H1733" s="100"/>
    </row>
    <row r="1734" customHeight="1" spans="2:8">
      <c r="B1734" s="98"/>
      <c r="C1734" s="98"/>
      <c r="D1734" s="98"/>
      <c r="E1734" s="98"/>
      <c r="F1734" s="99"/>
      <c r="G1734" s="100"/>
      <c r="H1734" s="100"/>
    </row>
    <row r="1735" customHeight="1" spans="2:8">
      <c r="B1735" s="98"/>
      <c r="C1735" s="98"/>
      <c r="D1735" s="98"/>
      <c r="E1735" s="98"/>
      <c r="F1735" s="99"/>
      <c r="G1735" s="100"/>
      <c r="H1735" s="100"/>
    </row>
    <row r="1736" customHeight="1" spans="2:8">
      <c r="B1736" s="98"/>
      <c r="C1736" s="98"/>
      <c r="D1736" s="98"/>
      <c r="E1736" s="98"/>
      <c r="F1736" s="99"/>
      <c r="G1736" s="100"/>
      <c r="H1736" s="100"/>
    </row>
    <row r="1737" customHeight="1" spans="2:8">
      <c r="B1737" s="98"/>
      <c r="C1737" s="98"/>
      <c r="D1737" s="98"/>
      <c r="E1737" s="98"/>
      <c r="F1737" s="99"/>
      <c r="G1737" s="100"/>
      <c r="H1737" s="100"/>
    </row>
    <row r="1738" customHeight="1" spans="2:8">
      <c r="B1738" s="98"/>
      <c r="C1738" s="98"/>
      <c r="D1738" s="98"/>
      <c r="E1738" s="98"/>
      <c r="F1738" s="99"/>
      <c r="G1738" s="100"/>
      <c r="H1738" s="100"/>
    </row>
    <row r="1739" customHeight="1" spans="2:8">
      <c r="B1739" s="98"/>
      <c r="C1739" s="98"/>
      <c r="D1739" s="98"/>
      <c r="E1739" s="98"/>
      <c r="F1739" s="99"/>
      <c r="G1739" s="100"/>
      <c r="H1739" s="100"/>
    </row>
    <row r="1740" customHeight="1" spans="2:8">
      <c r="B1740" s="98"/>
      <c r="C1740" s="98"/>
      <c r="D1740" s="98"/>
      <c r="E1740" s="98"/>
      <c r="F1740" s="99"/>
      <c r="G1740" s="100"/>
      <c r="H1740" s="100"/>
    </row>
    <row r="1741" customHeight="1" spans="2:8">
      <c r="B1741" s="98"/>
      <c r="C1741" s="98"/>
      <c r="D1741" s="98"/>
      <c r="E1741" s="98"/>
      <c r="F1741" s="99"/>
      <c r="G1741" s="100"/>
      <c r="H1741" s="100"/>
    </row>
    <row r="1742" customHeight="1" spans="2:8">
      <c r="B1742" s="98"/>
      <c r="C1742" s="98"/>
      <c r="D1742" s="98"/>
      <c r="E1742" s="98"/>
      <c r="F1742" s="99"/>
      <c r="G1742" s="100"/>
      <c r="H1742" s="100"/>
    </row>
    <row r="1743" customHeight="1" spans="2:8">
      <c r="B1743" s="98"/>
      <c r="C1743" s="98"/>
      <c r="D1743" s="98"/>
      <c r="E1743" s="98"/>
      <c r="F1743" s="99"/>
      <c r="G1743" s="100"/>
      <c r="H1743" s="100"/>
    </row>
    <row r="1744" customHeight="1" spans="2:8">
      <c r="B1744" s="98"/>
      <c r="C1744" s="98"/>
      <c r="D1744" s="98"/>
      <c r="E1744" s="98"/>
      <c r="F1744" s="99"/>
      <c r="G1744" s="100"/>
      <c r="H1744" s="100"/>
    </row>
    <row r="1745" customHeight="1" spans="2:8">
      <c r="B1745" s="98"/>
      <c r="C1745" s="98"/>
      <c r="D1745" s="98"/>
      <c r="E1745" s="98"/>
      <c r="F1745" s="99"/>
      <c r="G1745" s="100"/>
      <c r="H1745" s="100"/>
    </row>
    <row r="1746" customHeight="1" spans="2:8">
      <c r="B1746" s="98"/>
      <c r="C1746" s="98"/>
      <c r="D1746" s="98"/>
      <c r="E1746" s="98"/>
      <c r="F1746" s="99"/>
      <c r="G1746" s="100"/>
      <c r="H1746" s="100"/>
    </row>
    <row r="1747" customHeight="1" spans="2:8">
      <c r="B1747" s="98"/>
      <c r="C1747" s="98"/>
      <c r="D1747" s="98"/>
      <c r="E1747" s="98"/>
      <c r="F1747" s="99"/>
      <c r="G1747" s="100"/>
      <c r="H1747" s="100"/>
    </row>
    <row r="1748" customHeight="1" spans="2:8">
      <c r="B1748" s="98"/>
      <c r="C1748" s="98"/>
      <c r="D1748" s="98"/>
      <c r="E1748" s="98"/>
      <c r="F1748" s="99"/>
      <c r="G1748" s="100"/>
      <c r="H1748" s="100"/>
    </row>
    <row r="1749" customHeight="1" spans="2:8">
      <c r="B1749" s="98"/>
      <c r="C1749" s="98"/>
      <c r="D1749" s="98"/>
      <c r="E1749" s="98"/>
      <c r="F1749" s="99"/>
      <c r="G1749" s="100"/>
      <c r="H1749" s="100"/>
    </row>
    <row r="1750" customHeight="1" spans="2:8">
      <c r="B1750" s="98"/>
      <c r="C1750" s="98"/>
      <c r="D1750" s="98"/>
      <c r="E1750" s="98"/>
      <c r="F1750" s="99"/>
      <c r="G1750" s="100"/>
      <c r="H1750" s="100"/>
    </row>
    <row r="1751" customHeight="1" spans="2:8">
      <c r="B1751" s="98"/>
      <c r="C1751" s="98"/>
      <c r="D1751" s="98"/>
      <c r="E1751" s="98"/>
      <c r="F1751" s="99"/>
      <c r="G1751" s="100"/>
      <c r="H1751" s="100"/>
    </row>
    <row r="1752" customHeight="1" spans="2:8">
      <c r="B1752" s="98"/>
      <c r="C1752" s="98"/>
      <c r="D1752" s="98"/>
      <c r="E1752" s="98"/>
      <c r="F1752" s="99"/>
      <c r="G1752" s="100"/>
      <c r="H1752" s="100"/>
    </row>
    <row r="1753" customHeight="1" spans="2:8">
      <c r="B1753" s="98"/>
      <c r="C1753" s="98"/>
      <c r="D1753" s="98"/>
      <c r="E1753" s="98"/>
      <c r="F1753" s="99"/>
      <c r="G1753" s="100"/>
      <c r="H1753" s="100"/>
    </row>
    <row r="1754" customHeight="1" spans="2:8">
      <c r="B1754" s="98"/>
      <c r="C1754" s="98"/>
      <c r="D1754" s="98"/>
      <c r="E1754" s="98"/>
      <c r="F1754" s="99"/>
      <c r="G1754" s="100"/>
      <c r="H1754" s="100"/>
    </row>
    <row r="1755" customHeight="1" spans="2:8">
      <c r="B1755" s="98"/>
      <c r="C1755" s="98"/>
      <c r="D1755" s="98"/>
      <c r="E1755" s="98"/>
      <c r="F1755" s="99"/>
      <c r="G1755" s="100"/>
      <c r="H1755" s="100"/>
    </row>
    <row r="1756" customHeight="1" spans="2:8">
      <c r="B1756" s="98"/>
      <c r="C1756" s="98"/>
      <c r="D1756" s="98"/>
      <c r="E1756" s="98"/>
      <c r="F1756" s="99"/>
      <c r="G1756" s="100"/>
      <c r="H1756" s="100"/>
    </row>
    <row r="1757" customHeight="1" spans="2:8">
      <c r="B1757" s="98"/>
      <c r="C1757" s="98"/>
      <c r="D1757" s="98"/>
      <c r="E1757" s="98"/>
      <c r="F1757" s="99"/>
      <c r="G1757" s="100"/>
      <c r="H1757" s="100"/>
    </row>
    <row r="1758" customHeight="1" spans="2:8">
      <c r="B1758" s="98"/>
      <c r="C1758" s="98"/>
      <c r="D1758" s="98"/>
      <c r="E1758" s="98"/>
      <c r="F1758" s="99"/>
      <c r="G1758" s="100"/>
      <c r="H1758" s="100"/>
    </row>
    <row r="1759" customHeight="1" spans="2:8">
      <c r="B1759" s="98"/>
      <c r="C1759" s="98"/>
      <c r="D1759" s="98"/>
      <c r="E1759" s="98"/>
      <c r="F1759" s="99"/>
      <c r="G1759" s="100"/>
      <c r="H1759" s="100"/>
    </row>
    <row r="1760" customHeight="1" spans="2:8">
      <c r="B1760" s="98"/>
      <c r="C1760" s="98"/>
      <c r="D1760" s="98"/>
      <c r="E1760" s="98"/>
      <c r="F1760" s="99"/>
      <c r="G1760" s="100"/>
      <c r="H1760" s="100"/>
    </row>
    <row r="1761" customHeight="1" spans="2:8">
      <c r="B1761" s="98"/>
      <c r="C1761" s="98"/>
      <c r="D1761" s="98"/>
      <c r="E1761" s="98"/>
      <c r="F1761" s="99"/>
      <c r="G1761" s="100"/>
      <c r="H1761" s="100"/>
    </row>
    <row r="1762" customHeight="1" spans="2:8">
      <c r="B1762" s="98"/>
      <c r="C1762" s="98"/>
      <c r="D1762" s="98"/>
      <c r="E1762" s="98"/>
      <c r="F1762" s="99"/>
      <c r="G1762" s="100"/>
      <c r="H1762" s="100"/>
    </row>
    <row r="1763" customHeight="1" spans="2:8">
      <c r="B1763" s="98"/>
      <c r="C1763" s="98"/>
      <c r="D1763" s="98"/>
      <c r="E1763" s="98"/>
      <c r="F1763" s="99"/>
      <c r="G1763" s="100"/>
      <c r="H1763" s="100"/>
    </row>
    <row r="1764" customHeight="1" spans="2:8">
      <c r="B1764" s="98"/>
      <c r="C1764" s="98"/>
      <c r="D1764" s="98"/>
      <c r="E1764" s="98"/>
      <c r="F1764" s="99"/>
      <c r="G1764" s="100"/>
      <c r="H1764" s="100"/>
    </row>
    <row r="1765" customHeight="1" spans="2:8">
      <c r="B1765" s="98"/>
      <c r="C1765" s="98"/>
      <c r="D1765" s="98"/>
      <c r="E1765" s="98"/>
      <c r="F1765" s="99"/>
      <c r="G1765" s="100"/>
      <c r="H1765" s="100"/>
    </row>
    <row r="1766" customHeight="1" spans="2:8">
      <c r="B1766" s="98"/>
      <c r="C1766" s="98"/>
      <c r="D1766" s="98"/>
      <c r="E1766" s="98"/>
      <c r="F1766" s="99"/>
      <c r="G1766" s="100"/>
      <c r="H1766" s="100"/>
    </row>
    <row r="1767" customHeight="1" spans="2:8">
      <c r="B1767" s="98"/>
      <c r="C1767" s="98"/>
      <c r="D1767" s="98"/>
      <c r="E1767" s="98"/>
      <c r="F1767" s="99"/>
      <c r="G1767" s="100"/>
      <c r="H1767" s="100"/>
    </row>
    <row r="1768" customHeight="1" spans="2:8">
      <c r="B1768" s="98"/>
      <c r="C1768" s="98"/>
      <c r="D1768" s="98"/>
      <c r="E1768" s="98"/>
      <c r="F1768" s="99"/>
      <c r="G1768" s="100"/>
      <c r="H1768" s="100"/>
    </row>
    <row r="1769" customHeight="1" spans="2:8">
      <c r="B1769" s="98"/>
      <c r="C1769" s="98"/>
      <c r="D1769" s="98"/>
      <c r="E1769" s="98"/>
      <c r="F1769" s="99"/>
      <c r="G1769" s="100"/>
      <c r="H1769" s="100"/>
    </row>
    <row r="1770" customHeight="1" spans="2:8">
      <c r="B1770" s="98"/>
      <c r="C1770" s="98"/>
      <c r="D1770" s="98"/>
      <c r="E1770" s="98"/>
      <c r="F1770" s="99"/>
      <c r="G1770" s="100"/>
      <c r="H1770" s="100"/>
    </row>
    <row r="1771" customHeight="1" spans="2:8">
      <c r="B1771" s="98"/>
      <c r="C1771" s="98"/>
      <c r="D1771" s="98"/>
      <c r="E1771" s="98"/>
      <c r="F1771" s="99"/>
      <c r="G1771" s="100"/>
      <c r="H1771" s="100"/>
    </row>
    <row r="1772" customHeight="1" spans="2:8">
      <c r="B1772" s="98"/>
      <c r="C1772" s="98"/>
      <c r="D1772" s="98"/>
      <c r="E1772" s="98"/>
      <c r="F1772" s="99"/>
      <c r="G1772" s="100"/>
      <c r="H1772" s="100"/>
    </row>
    <row r="1773" customHeight="1" spans="2:8">
      <c r="B1773" s="98"/>
      <c r="C1773" s="98"/>
      <c r="D1773" s="98"/>
      <c r="E1773" s="98"/>
      <c r="F1773" s="99"/>
      <c r="G1773" s="100"/>
      <c r="H1773" s="100"/>
    </row>
    <row r="1774" customHeight="1" spans="2:8">
      <c r="B1774" s="98"/>
      <c r="C1774" s="98"/>
      <c r="D1774" s="98"/>
      <c r="E1774" s="98"/>
      <c r="F1774" s="99"/>
      <c r="G1774" s="100"/>
      <c r="H1774" s="100"/>
    </row>
    <row r="1775" customHeight="1" spans="2:8">
      <c r="B1775" s="98"/>
      <c r="C1775" s="98"/>
      <c r="D1775" s="98"/>
      <c r="E1775" s="98"/>
      <c r="F1775" s="99"/>
      <c r="G1775" s="100"/>
      <c r="H1775" s="100"/>
    </row>
    <row r="1776" customHeight="1" spans="2:8">
      <c r="B1776" s="98"/>
      <c r="C1776" s="98"/>
      <c r="D1776" s="98"/>
      <c r="E1776" s="98"/>
      <c r="F1776" s="99"/>
      <c r="G1776" s="100"/>
      <c r="H1776" s="100"/>
    </row>
    <row r="1777" customHeight="1" spans="2:8">
      <c r="B1777" s="98"/>
      <c r="C1777" s="98"/>
      <c r="D1777" s="98"/>
      <c r="E1777" s="98"/>
      <c r="F1777" s="99"/>
      <c r="G1777" s="100"/>
      <c r="H1777" s="100"/>
    </row>
    <row r="1778" customHeight="1" spans="2:8">
      <c r="B1778" s="98"/>
      <c r="C1778" s="98"/>
      <c r="D1778" s="98"/>
      <c r="E1778" s="98"/>
      <c r="F1778" s="99"/>
      <c r="G1778" s="100"/>
      <c r="H1778" s="100"/>
    </row>
    <row r="1779" customHeight="1" spans="2:8">
      <c r="B1779" s="98"/>
      <c r="C1779" s="98"/>
      <c r="D1779" s="98"/>
      <c r="E1779" s="98"/>
      <c r="F1779" s="99"/>
      <c r="G1779" s="100"/>
      <c r="H1779" s="100"/>
    </row>
    <row r="1780" customHeight="1" spans="2:8">
      <c r="B1780" s="98"/>
      <c r="C1780" s="98"/>
      <c r="D1780" s="98"/>
      <c r="E1780" s="98"/>
      <c r="F1780" s="99"/>
      <c r="G1780" s="100"/>
      <c r="H1780" s="100"/>
    </row>
    <row r="1781" customHeight="1" spans="2:8">
      <c r="B1781" s="98"/>
      <c r="C1781" s="98"/>
      <c r="D1781" s="98"/>
      <c r="E1781" s="98"/>
      <c r="F1781" s="99"/>
      <c r="G1781" s="100"/>
      <c r="H1781" s="100"/>
    </row>
    <row r="1782" customHeight="1" spans="2:8">
      <c r="B1782" s="98"/>
      <c r="C1782" s="98"/>
      <c r="D1782" s="98"/>
      <c r="E1782" s="98"/>
      <c r="F1782" s="99"/>
      <c r="G1782" s="100"/>
      <c r="H1782" s="100"/>
    </row>
    <row r="1783" customHeight="1" spans="2:8">
      <c r="B1783" s="98"/>
      <c r="C1783" s="98"/>
      <c r="D1783" s="98"/>
      <c r="E1783" s="98"/>
      <c r="F1783" s="99"/>
      <c r="G1783" s="100"/>
      <c r="H1783" s="100"/>
    </row>
    <row r="1784" customHeight="1" spans="2:8">
      <c r="B1784" s="98"/>
      <c r="C1784" s="98"/>
      <c r="D1784" s="98"/>
      <c r="E1784" s="98"/>
      <c r="F1784" s="99"/>
      <c r="G1784" s="100"/>
      <c r="H1784" s="100"/>
    </row>
    <row r="1785" customHeight="1" spans="2:8">
      <c r="B1785" s="98"/>
      <c r="C1785" s="98"/>
      <c r="D1785" s="98"/>
      <c r="E1785" s="98"/>
      <c r="F1785" s="99"/>
      <c r="G1785" s="100"/>
      <c r="H1785" s="100"/>
    </row>
    <row r="1786" customHeight="1" spans="2:8">
      <c r="B1786" s="98"/>
      <c r="C1786" s="98"/>
      <c r="D1786" s="98"/>
      <c r="E1786" s="98"/>
      <c r="F1786" s="99"/>
      <c r="G1786" s="100"/>
      <c r="H1786" s="100"/>
    </row>
    <row r="1787" customHeight="1" spans="2:8">
      <c r="B1787" s="98"/>
      <c r="C1787" s="98"/>
      <c r="D1787" s="98"/>
      <c r="E1787" s="98"/>
      <c r="F1787" s="99"/>
      <c r="G1787" s="100"/>
      <c r="H1787" s="100"/>
    </row>
    <row r="1788" customHeight="1" spans="2:8">
      <c r="B1788" s="98"/>
      <c r="C1788" s="98"/>
      <c r="D1788" s="98"/>
      <c r="E1788" s="98"/>
      <c r="F1788" s="99"/>
      <c r="G1788" s="100"/>
      <c r="H1788" s="100"/>
    </row>
    <row r="1789" customHeight="1" spans="2:8">
      <c r="B1789" s="98"/>
      <c r="C1789" s="98"/>
      <c r="D1789" s="98"/>
      <c r="E1789" s="98"/>
      <c r="F1789" s="99"/>
      <c r="G1789" s="100"/>
      <c r="H1789" s="100"/>
    </row>
    <row r="1790" customHeight="1" spans="2:8">
      <c r="B1790" s="98"/>
      <c r="C1790" s="98"/>
      <c r="D1790" s="98"/>
      <c r="E1790" s="98"/>
      <c r="F1790" s="99"/>
      <c r="G1790" s="100"/>
      <c r="H1790" s="100"/>
    </row>
    <row r="1791" customHeight="1" spans="2:8">
      <c r="B1791" s="98"/>
      <c r="C1791" s="98"/>
      <c r="D1791" s="98"/>
      <c r="E1791" s="98"/>
      <c r="F1791" s="99"/>
      <c r="G1791" s="100"/>
      <c r="H1791" s="100"/>
    </row>
    <row r="1792" customHeight="1" spans="2:8">
      <c r="B1792" s="98"/>
      <c r="C1792" s="98"/>
      <c r="D1792" s="98"/>
      <c r="E1792" s="98"/>
      <c r="F1792" s="99"/>
      <c r="G1792" s="100"/>
      <c r="H1792" s="100"/>
    </row>
    <row r="1793" customHeight="1" spans="2:8">
      <c r="B1793" s="98"/>
      <c r="C1793" s="98"/>
      <c r="D1793" s="98"/>
      <c r="E1793" s="98"/>
      <c r="F1793" s="99"/>
      <c r="G1793" s="100"/>
      <c r="H1793" s="100"/>
    </row>
    <row r="1794" customHeight="1" spans="2:8">
      <c r="B1794" s="98"/>
      <c r="C1794" s="98"/>
      <c r="D1794" s="98"/>
      <c r="E1794" s="98"/>
      <c r="F1794" s="99"/>
      <c r="G1794" s="100"/>
      <c r="H1794" s="100"/>
    </row>
    <row r="1795" customHeight="1" spans="2:8">
      <c r="B1795" s="98"/>
      <c r="C1795" s="98"/>
      <c r="D1795" s="98"/>
      <c r="E1795" s="98"/>
      <c r="F1795" s="99"/>
      <c r="G1795" s="100"/>
      <c r="H1795" s="100"/>
    </row>
    <row r="1796" customHeight="1" spans="2:8">
      <c r="B1796" s="98"/>
      <c r="C1796" s="98"/>
      <c r="D1796" s="98"/>
      <c r="E1796" s="98"/>
      <c r="F1796" s="99"/>
      <c r="G1796" s="100"/>
      <c r="H1796" s="100"/>
    </row>
    <row r="1797" customHeight="1" spans="2:8">
      <c r="B1797" s="98"/>
      <c r="C1797" s="98"/>
      <c r="D1797" s="98"/>
      <c r="E1797" s="98"/>
      <c r="F1797" s="99"/>
      <c r="G1797" s="100"/>
      <c r="H1797" s="100"/>
    </row>
    <row r="1798" customHeight="1" spans="2:8">
      <c r="B1798" s="98"/>
      <c r="C1798" s="98"/>
      <c r="D1798" s="98"/>
      <c r="E1798" s="98"/>
      <c r="F1798" s="99"/>
      <c r="G1798" s="100"/>
      <c r="H1798" s="100"/>
    </row>
    <row r="1799" customHeight="1" spans="2:8">
      <c r="B1799" s="98"/>
      <c r="C1799" s="98"/>
      <c r="D1799" s="98"/>
      <c r="E1799" s="98"/>
      <c r="F1799" s="99"/>
      <c r="G1799" s="100"/>
      <c r="H1799" s="100"/>
    </row>
    <row r="1800" customHeight="1" spans="2:8">
      <c r="B1800" s="98"/>
      <c r="C1800" s="98"/>
      <c r="D1800" s="98"/>
      <c r="E1800" s="98"/>
      <c r="F1800" s="99"/>
      <c r="G1800" s="100"/>
      <c r="H1800" s="100"/>
    </row>
    <row r="1801" customHeight="1" spans="2:8">
      <c r="B1801" s="98"/>
      <c r="C1801" s="98"/>
      <c r="D1801" s="98"/>
      <c r="E1801" s="98"/>
      <c r="F1801" s="99"/>
      <c r="G1801" s="100"/>
      <c r="H1801" s="100"/>
    </row>
    <row r="1802" customHeight="1" spans="2:8">
      <c r="B1802" s="98"/>
      <c r="C1802" s="98"/>
      <c r="D1802" s="98"/>
      <c r="E1802" s="98"/>
      <c r="F1802" s="99"/>
      <c r="G1802" s="100"/>
      <c r="H1802" s="100"/>
    </row>
    <row r="1803" customHeight="1" spans="2:8">
      <c r="B1803" s="98"/>
      <c r="C1803" s="98"/>
      <c r="D1803" s="98"/>
      <c r="E1803" s="98"/>
      <c r="F1803" s="99"/>
      <c r="G1803" s="100"/>
      <c r="H1803" s="100"/>
    </row>
    <row r="1804" customHeight="1" spans="2:8">
      <c r="B1804" s="98"/>
      <c r="C1804" s="98"/>
      <c r="D1804" s="98"/>
      <c r="E1804" s="98"/>
      <c r="F1804" s="99"/>
      <c r="G1804" s="100"/>
      <c r="H1804" s="100"/>
    </row>
    <row r="1805" customHeight="1" spans="2:8">
      <c r="B1805" s="98"/>
      <c r="C1805" s="98"/>
      <c r="D1805" s="98"/>
      <c r="E1805" s="98"/>
      <c r="F1805" s="99"/>
      <c r="G1805" s="100"/>
      <c r="H1805" s="100"/>
    </row>
    <row r="1806" customHeight="1" spans="2:8">
      <c r="B1806" s="98"/>
      <c r="C1806" s="98"/>
      <c r="D1806" s="98"/>
      <c r="E1806" s="98"/>
      <c r="F1806" s="99"/>
      <c r="G1806" s="100"/>
      <c r="H1806" s="100"/>
    </row>
    <row r="1807" customHeight="1" spans="2:8">
      <c r="B1807" s="98"/>
      <c r="C1807" s="98"/>
      <c r="D1807" s="98"/>
      <c r="E1807" s="98"/>
      <c r="F1807" s="99"/>
      <c r="G1807" s="100"/>
      <c r="H1807" s="100"/>
    </row>
    <row r="1808" customHeight="1" spans="2:8">
      <c r="B1808" s="98"/>
      <c r="C1808" s="98"/>
      <c r="D1808" s="98"/>
      <c r="E1808" s="98"/>
      <c r="F1808" s="99"/>
      <c r="G1808" s="100"/>
      <c r="H1808" s="100"/>
    </row>
    <row r="1809" customHeight="1" spans="2:8">
      <c r="B1809" s="98"/>
      <c r="C1809" s="98"/>
      <c r="D1809" s="98"/>
      <c r="E1809" s="98"/>
      <c r="F1809" s="99"/>
      <c r="G1809" s="100"/>
      <c r="H1809" s="100"/>
    </row>
    <row r="1810" customHeight="1" spans="2:8">
      <c r="B1810" s="98"/>
      <c r="C1810" s="98"/>
      <c r="D1810" s="98"/>
      <c r="E1810" s="98"/>
      <c r="F1810" s="99"/>
      <c r="G1810" s="100"/>
      <c r="H1810" s="100"/>
    </row>
    <row r="1811" customHeight="1" spans="2:8">
      <c r="B1811" s="98"/>
      <c r="C1811" s="98"/>
      <c r="D1811" s="98"/>
      <c r="E1811" s="98"/>
      <c r="F1811" s="99"/>
      <c r="G1811" s="100"/>
      <c r="H1811" s="100"/>
    </row>
    <row r="1812" customHeight="1" spans="2:8">
      <c r="B1812" s="98"/>
      <c r="C1812" s="98"/>
      <c r="D1812" s="98"/>
      <c r="E1812" s="98"/>
      <c r="F1812" s="99"/>
      <c r="G1812" s="100"/>
      <c r="H1812" s="100"/>
    </row>
    <row r="1813" customHeight="1" spans="2:8">
      <c r="B1813" s="98"/>
      <c r="C1813" s="98"/>
      <c r="D1813" s="98"/>
      <c r="E1813" s="98"/>
      <c r="F1813" s="99"/>
      <c r="G1813" s="100"/>
      <c r="H1813" s="100"/>
    </row>
    <row r="1814" customHeight="1" spans="2:8">
      <c r="B1814" s="98"/>
      <c r="C1814" s="98"/>
      <c r="D1814" s="98"/>
      <c r="E1814" s="98"/>
      <c r="F1814" s="99"/>
      <c r="G1814" s="100"/>
      <c r="H1814" s="100"/>
    </row>
    <row r="1815" customHeight="1" spans="2:8">
      <c r="B1815" s="98"/>
      <c r="C1815" s="98"/>
      <c r="D1815" s="98"/>
      <c r="E1815" s="98"/>
      <c r="F1815" s="99"/>
      <c r="G1815" s="100"/>
      <c r="H1815" s="100"/>
    </row>
    <row r="1816" customHeight="1" spans="2:8">
      <c r="B1816" s="98"/>
      <c r="C1816" s="98"/>
      <c r="D1816" s="98"/>
      <c r="E1816" s="98"/>
      <c r="F1816" s="99"/>
      <c r="G1816" s="100"/>
      <c r="H1816" s="100"/>
    </row>
    <row r="1817" customHeight="1" spans="2:8">
      <c r="B1817" s="98"/>
      <c r="C1817" s="98"/>
      <c r="D1817" s="98"/>
      <c r="E1817" s="98"/>
      <c r="F1817" s="99"/>
      <c r="G1817" s="100"/>
      <c r="H1817" s="100"/>
    </row>
    <row r="1818" customHeight="1" spans="2:8">
      <c r="B1818" s="98"/>
      <c r="C1818" s="98"/>
      <c r="D1818" s="98"/>
      <c r="E1818" s="98"/>
      <c r="F1818" s="99"/>
      <c r="G1818" s="100"/>
      <c r="H1818" s="100"/>
    </row>
    <row r="1819" customHeight="1" spans="2:8">
      <c r="B1819" s="98"/>
      <c r="C1819" s="98"/>
      <c r="D1819" s="98"/>
      <c r="E1819" s="98"/>
      <c r="F1819" s="99"/>
      <c r="G1819" s="100"/>
      <c r="H1819" s="100"/>
    </row>
    <row r="1820" customHeight="1" spans="2:8">
      <c r="B1820" s="98"/>
      <c r="C1820" s="98"/>
      <c r="D1820" s="98"/>
      <c r="E1820" s="98"/>
      <c r="F1820" s="99"/>
      <c r="G1820" s="100"/>
      <c r="H1820" s="100"/>
    </row>
    <row r="1821" customHeight="1" spans="2:8">
      <c r="B1821" s="98"/>
      <c r="C1821" s="98"/>
      <c r="D1821" s="98"/>
      <c r="E1821" s="98"/>
      <c r="F1821" s="99"/>
      <c r="G1821" s="100"/>
      <c r="H1821" s="100"/>
    </row>
    <row r="1822" customHeight="1" spans="2:8">
      <c r="B1822" s="98"/>
      <c r="C1822" s="98"/>
      <c r="D1822" s="98"/>
      <c r="E1822" s="98"/>
      <c r="F1822" s="99"/>
      <c r="G1822" s="100"/>
      <c r="H1822" s="100"/>
    </row>
    <row r="1823" customHeight="1" spans="2:8">
      <c r="B1823" s="98"/>
      <c r="C1823" s="98"/>
      <c r="D1823" s="98"/>
      <c r="E1823" s="98"/>
      <c r="F1823" s="99"/>
      <c r="G1823" s="100"/>
      <c r="H1823" s="100"/>
    </row>
    <row r="1824" customHeight="1" spans="2:8">
      <c r="B1824" s="98"/>
      <c r="C1824" s="98"/>
      <c r="D1824" s="98"/>
      <c r="E1824" s="98"/>
      <c r="F1824" s="99"/>
      <c r="G1824" s="100"/>
      <c r="H1824" s="100"/>
    </row>
    <row r="1825" customHeight="1" spans="2:8">
      <c r="B1825" s="98"/>
      <c r="C1825" s="98"/>
      <c r="D1825" s="98"/>
      <c r="E1825" s="98"/>
      <c r="F1825" s="99"/>
      <c r="G1825" s="100"/>
      <c r="H1825" s="100"/>
    </row>
    <row r="1826" customHeight="1" spans="2:8">
      <c r="B1826" s="98"/>
      <c r="C1826" s="98"/>
      <c r="D1826" s="98"/>
      <c r="E1826" s="98"/>
      <c r="F1826" s="99"/>
      <c r="G1826" s="100"/>
      <c r="H1826" s="100"/>
    </row>
    <row r="1827" customHeight="1" spans="2:8">
      <c r="B1827" s="98"/>
      <c r="C1827" s="98"/>
      <c r="D1827" s="98"/>
      <c r="E1827" s="98"/>
      <c r="F1827" s="99"/>
      <c r="G1827" s="100"/>
      <c r="H1827" s="100"/>
    </row>
    <row r="1828" customHeight="1" spans="2:8">
      <c r="B1828" s="98"/>
      <c r="C1828" s="98"/>
      <c r="D1828" s="98"/>
      <c r="E1828" s="98"/>
      <c r="F1828" s="99"/>
      <c r="G1828" s="100"/>
      <c r="H1828" s="100"/>
    </row>
    <row r="1829" customHeight="1" spans="2:8">
      <c r="B1829" s="98"/>
      <c r="C1829" s="98"/>
      <c r="D1829" s="98"/>
      <c r="E1829" s="98"/>
      <c r="F1829" s="99"/>
      <c r="G1829" s="100"/>
      <c r="H1829" s="100"/>
    </row>
    <row r="1830" customHeight="1" spans="2:8">
      <c r="B1830" s="98"/>
      <c r="C1830" s="98"/>
      <c r="D1830" s="98"/>
      <c r="E1830" s="98"/>
      <c r="F1830" s="99"/>
      <c r="G1830" s="100"/>
      <c r="H1830" s="100"/>
    </row>
    <row r="1831" customHeight="1" spans="2:8">
      <c r="B1831" s="98"/>
      <c r="C1831" s="98"/>
      <c r="D1831" s="98"/>
      <c r="E1831" s="98"/>
      <c r="F1831" s="99"/>
      <c r="G1831" s="100"/>
      <c r="H1831" s="100"/>
    </row>
    <row r="1832" customHeight="1" spans="2:8">
      <c r="B1832" s="98"/>
      <c r="C1832" s="98"/>
      <c r="D1832" s="98"/>
      <c r="E1832" s="98"/>
      <c r="F1832" s="99"/>
      <c r="G1832" s="100"/>
      <c r="H1832" s="100"/>
    </row>
    <row r="1833" customHeight="1" spans="2:8">
      <c r="B1833" s="98"/>
      <c r="C1833" s="98"/>
      <c r="D1833" s="98"/>
      <c r="E1833" s="98"/>
      <c r="F1833" s="99"/>
      <c r="G1833" s="100"/>
      <c r="H1833" s="100"/>
    </row>
    <row r="1834" customHeight="1" spans="2:8">
      <c r="B1834" s="98"/>
      <c r="C1834" s="98"/>
      <c r="D1834" s="98"/>
      <c r="E1834" s="98"/>
      <c r="F1834" s="99"/>
      <c r="G1834" s="100"/>
      <c r="H1834" s="100"/>
    </row>
    <row r="1835" customHeight="1" spans="2:8">
      <c r="B1835" s="98"/>
      <c r="C1835" s="98"/>
      <c r="D1835" s="98"/>
      <c r="E1835" s="98"/>
      <c r="F1835" s="99"/>
      <c r="G1835" s="100"/>
      <c r="H1835" s="100"/>
    </row>
    <row r="1836" customHeight="1" spans="2:8">
      <c r="B1836" s="98"/>
      <c r="C1836" s="98"/>
      <c r="D1836" s="98"/>
      <c r="E1836" s="98"/>
      <c r="F1836" s="99"/>
      <c r="G1836" s="100"/>
      <c r="H1836" s="100"/>
    </row>
    <row r="1837" customHeight="1" spans="2:8">
      <c r="B1837" s="98"/>
      <c r="C1837" s="98"/>
      <c r="D1837" s="98"/>
      <c r="E1837" s="98"/>
      <c r="F1837" s="99"/>
      <c r="G1837" s="100"/>
      <c r="H1837" s="100"/>
    </row>
    <row r="1838" customHeight="1" spans="2:8">
      <c r="B1838" s="98"/>
      <c r="C1838" s="98"/>
      <c r="D1838" s="98"/>
      <c r="E1838" s="98"/>
      <c r="F1838" s="99"/>
      <c r="G1838" s="100"/>
      <c r="H1838" s="100"/>
    </row>
    <row r="1839" customHeight="1" spans="2:8">
      <c r="B1839" s="98"/>
      <c r="C1839" s="98"/>
      <c r="D1839" s="98"/>
      <c r="E1839" s="98"/>
      <c r="F1839" s="99"/>
      <c r="G1839" s="100"/>
      <c r="H1839" s="100"/>
    </row>
    <row r="1840" customHeight="1" spans="2:8">
      <c r="B1840" s="98"/>
      <c r="C1840" s="98"/>
      <c r="D1840" s="98"/>
      <c r="E1840" s="98"/>
      <c r="F1840" s="99"/>
      <c r="G1840" s="100"/>
      <c r="H1840" s="100"/>
    </row>
    <row r="1841" customHeight="1" spans="2:8">
      <c r="B1841" s="98"/>
      <c r="C1841" s="98"/>
      <c r="D1841" s="98"/>
      <c r="E1841" s="98"/>
      <c r="F1841" s="99"/>
      <c r="G1841" s="100"/>
      <c r="H1841" s="100"/>
    </row>
    <row r="1842" customHeight="1" spans="2:8">
      <c r="B1842" s="98"/>
      <c r="C1842" s="98"/>
      <c r="D1842" s="98"/>
      <c r="E1842" s="98"/>
      <c r="F1842" s="99"/>
      <c r="G1842" s="100"/>
      <c r="H1842" s="100"/>
    </row>
    <row r="1843" customHeight="1" spans="2:8">
      <c r="B1843" s="98"/>
      <c r="C1843" s="98"/>
      <c r="D1843" s="98"/>
      <c r="E1843" s="98"/>
      <c r="F1843" s="99"/>
      <c r="G1843" s="100"/>
      <c r="H1843" s="100"/>
    </row>
    <row r="1844" customHeight="1" spans="2:8">
      <c r="B1844" s="98"/>
      <c r="C1844" s="98"/>
      <c r="D1844" s="98"/>
      <c r="E1844" s="98"/>
      <c r="F1844" s="99"/>
      <c r="G1844" s="100"/>
      <c r="H1844" s="100"/>
    </row>
    <row r="1845" customHeight="1" spans="2:8">
      <c r="B1845" s="98"/>
      <c r="C1845" s="98"/>
      <c r="D1845" s="98"/>
      <c r="E1845" s="98"/>
      <c r="F1845" s="99"/>
      <c r="G1845" s="100"/>
      <c r="H1845" s="100"/>
    </row>
    <row r="1846" customHeight="1" spans="2:8">
      <c r="B1846" s="98"/>
      <c r="C1846" s="98"/>
      <c r="D1846" s="98"/>
      <c r="E1846" s="98"/>
      <c r="F1846" s="99"/>
      <c r="G1846" s="100"/>
      <c r="H1846" s="100"/>
    </row>
    <row r="1847" customHeight="1" spans="2:8">
      <c r="B1847" s="98"/>
      <c r="C1847" s="98"/>
      <c r="D1847" s="98"/>
      <c r="E1847" s="98"/>
      <c r="F1847" s="99"/>
      <c r="G1847" s="100"/>
      <c r="H1847" s="100"/>
    </row>
    <row r="1848" customHeight="1" spans="2:8">
      <c r="B1848" s="98"/>
      <c r="C1848" s="98"/>
      <c r="D1848" s="98"/>
      <c r="E1848" s="98"/>
      <c r="F1848" s="99"/>
      <c r="G1848" s="100"/>
      <c r="H1848" s="100"/>
    </row>
    <row r="1849" customHeight="1" spans="2:8">
      <c r="B1849" s="98"/>
      <c r="C1849" s="98"/>
      <c r="D1849" s="98"/>
      <c r="E1849" s="98"/>
      <c r="F1849" s="99"/>
      <c r="G1849" s="100"/>
      <c r="H1849" s="100"/>
    </row>
    <row r="1850" customHeight="1" spans="2:8">
      <c r="B1850" s="98"/>
      <c r="C1850" s="98"/>
      <c r="D1850" s="98"/>
      <c r="E1850" s="98"/>
      <c r="F1850" s="99"/>
      <c r="G1850" s="100"/>
      <c r="H1850" s="100"/>
    </row>
    <row r="1851" customHeight="1" spans="2:8">
      <c r="B1851" s="98"/>
      <c r="C1851" s="98"/>
      <c r="D1851" s="98"/>
      <c r="E1851" s="98"/>
      <c r="F1851" s="99"/>
      <c r="G1851" s="100"/>
      <c r="H1851" s="100"/>
    </row>
    <row r="1852" customHeight="1" spans="2:8">
      <c r="B1852" s="98"/>
      <c r="C1852" s="98"/>
      <c r="D1852" s="98"/>
      <c r="E1852" s="98"/>
      <c r="F1852" s="99"/>
      <c r="G1852" s="100"/>
      <c r="H1852" s="100"/>
    </row>
    <row r="1853" customHeight="1" spans="2:8">
      <c r="B1853" s="98"/>
      <c r="C1853" s="98"/>
      <c r="D1853" s="98"/>
      <c r="E1853" s="98"/>
      <c r="F1853" s="99"/>
      <c r="G1853" s="100"/>
      <c r="H1853" s="100"/>
    </row>
    <row r="1854" customHeight="1" spans="2:8">
      <c r="B1854" s="98"/>
      <c r="C1854" s="98"/>
      <c r="D1854" s="98"/>
      <c r="E1854" s="98"/>
      <c r="F1854" s="99"/>
      <c r="G1854" s="100"/>
      <c r="H1854" s="100"/>
    </row>
    <row r="1855" customHeight="1" spans="2:8">
      <c r="B1855" s="98"/>
      <c r="C1855" s="98"/>
      <c r="D1855" s="98"/>
      <c r="E1855" s="98"/>
      <c r="F1855" s="99"/>
      <c r="G1855" s="100"/>
      <c r="H1855" s="100"/>
    </row>
    <row r="1856" customHeight="1" spans="2:8">
      <c r="B1856" s="98"/>
      <c r="C1856" s="98"/>
      <c r="D1856" s="98"/>
      <c r="E1856" s="98"/>
      <c r="F1856" s="99"/>
      <c r="G1856" s="100"/>
      <c r="H1856" s="100"/>
    </row>
    <row r="1857" customHeight="1" spans="2:8">
      <c r="B1857" s="98"/>
      <c r="C1857" s="98"/>
      <c r="D1857" s="98"/>
      <c r="E1857" s="98"/>
      <c r="F1857" s="99"/>
      <c r="G1857" s="100"/>
      <c r="H1857" s="100"/>
    </row>
    <row r="1858" customHeight="1" spans="2:8">
      <c r="B1858" s="98"/>
      <c r="C1858" s="98"/>
      <c r="D1858" s="98"/>
      <c r="E1858" s="98"/>
      <c r="F1858" s="99"/>
      <c r="G1858" s="100"/>
      <c r="H1858" s="100"/>
    </row>
    <row r="1859" customHeight="1" spans="2:8">
      <c r="B1859" s="98"/>
      <c r="C1859" s="98"/>
      <c r="D1859" s="98"/>
      <c r="E1859" s="98"/>
      <c r="F1859" s="99"/>
      <c r="G1859" s="100"/>
      <c r="H1859" s="100"/>
    </row>
    <row r="1860" customHeight="1" spans="2:8">
      <c r="B1860" s="98"/>
      <c r="C1860" s="98"/>
      <c r="D1860" s="98"/>
      <c r="E1860" s="98"/>
      <c r="F1860" s="99"/>
      <c r="G1860" s="100"/>
      <c r="H1860" s="100"/>
    </row>
    <row r="1861" customHeight="1" spans="2:8">
      <c r="B1861" s="98"/>
      <c r="C1861" s="98"/>
      <c r="D1861" s="98"/>
      <c r="E1861" s="98"/>
      <c r="F1861" s="99"/>
      <c r="G1861" s="100"/>
      <c r="H1861" s="100"/>
    </row>
    <row r="1862" customHeight="1" spans="2:8">
      <c r="B1862" s="98"/>
      <c r="C1862" s="98"/>
      <c r="D1862" s="98"/>
      <c r="E1862" s="98"/>
      <c r="F1862" s="99"/>
      <c r="G1862" s="100"/>
      <c r="H1862" s="100"/>
    </row>
    <row r="1863" customHeight="1" spans="2:8">
      <c r="B1863" s="98"/>
      <c r="C1863" s="98"/>
      <c r="D1863" s="98"/>
      <c r="E1863" s="98"/>
      <c r="F1863" s="99"/>
      <c r="G1863" s="100"/>
      <c r="H1863" s="100"/>
    </row>
    <row r="1864" customHeight="1" spans="2:8">
      <c r="B1864" s="98"/>
      <c r="C1864" s="98"/>
      <c r="D1864" s="98"/>
      <c r="E1864" s="98"/>
      <c r="F1864" s="99"/>
      <c r="G1864" s="100"/>
      <c r="H1864" s="100"/>
    </row>
    <row r="1865" customHeight="1" spans="2:8">
      <c r="B1865" s="98"/>
      <c r="C1865" s="98"/>
      <c r="D1865" s="98"/>
      <c r="E1865" s="98"/>
      <c r="F1865" s="99"/>
      <c r="G1865" s="100"/>
      <c r="H1865" s="100"/>
    </row>
    <row r="1866" customHeight="1" spans="2:8">
      <c r="B1866" s="98"/>
      <c r="C1866" s="98"/>
      <c r="D1866" s="98"/>
      <c r="E1866" s="98"/>
      <c r="F1866" s="99"/>
      <c r="G1866" s="100"/>
      <c r="H1866" s="100"/>
    </row>
    <row r="1867" customHeight="1" spans="2:8">
      <c r="B1867" s="98"/>
      <c r="C1867" s="98"/>
      <c r="D1867" s="98"/>
      <c r="E1867" s="98"/>
      <c r="F1867" s="99"/>
      <c r="G1867" s="100"/>
      <c r="H1867" s="100"/>
    </row>
    <row r="1868" customHeight="1" spans="2:8">
      <c r="B1868" s="98"/>
      <c r="C1868" s="98"/>
      <c r="D1868" s="98"/>
      <c r="E1868" s="98"/>
      <c r="F1868" s="99"/>
      <c r="G1868" s="100"/>
      <c r="H1868" s="100"/>
    </row>
    <row r="1869" customHeight="1" spans="2:8">
      <c r="B1869" s="98"/>
      <c r="C1869" s="98"/>
      <c r="D1869" s="98"/>
      <c r="E1869" s="98"/>
      <c r="F1869" s="99"/>
      <c r="G1869" s="100"/>
      <c r="H1869" s="100"/>
    </row>
    <row r="1870" customHeight="1" spans="2:8">
      <c r="B1870" s="98"/>
      <c r="C1870" s="98"/>
      <c r="D1870" s="98"/>
      <c r="E1870" s="98"/>
      <c r="F1870" s="99"/>
      <c r="G1870" s="100"/>
      <c r="H1870" s="100"/>
    </row>
    <row r="1871" customHeight="1" spans="2:8">
      <c r="B1871" s="98"/>
      <c r="C1871" s="98"/>
      <c r="D1871" s="98"/>
      <c r="E1871" s="98"/>
      <c r="F1871" s="99"/>
      <c r="G1871" s="100"/>
      <c r="H1871" s="100"/>
    </row>
    <row r="1872" customHeight="1" spans="2:8">
      <c r="B1872" s="98"/>
      <c r="C1872" s="98"/>
      <c r="D1872" s="98"/>
      <c r="E1872" s="98"/>
      <c r="F1872" s="99"/>
      <c r="G1872" s="100"/>
      <c r="H1872" s="100"/>
    </row>
    <row r="1873" customHeight="1" spans="2:8">
      <c r="B1873" s="98"/>
      <c r="C1873" s="98"/>
      <c r="D1873" s="98"/>
      <c r="E1873" s="98"/>
      <c r="F1873" s="99"/>
      <c r="G1873" s="100"/>
      <c r="H1873" s="100"/>
    </row>
    <row r="1874" customHeight="1" spans="2:8">
      <c r="B1874" s="98"/>
      <c r="C1874" s="98"/>
      <c r="D1874" s="98"/>
      <c r="E1874" s="98"/>
      <c r="F1874" s="99"/>
      <c r="G1874" s="100"/>
      <c r="H1874" s="100"/>
    </row>
    <row r="1875" customHeight="1" spans="2:8">
      <c r="B1875" s="98"/>
      <c r="C1875" s="98"/>
      <c r="D1875" s="98"/>
      <c r="E1875" s="98"/>
      <c r="F1875" s="99"/>
      <c r="G1875" s="100"/>
      <c r="H1875" s="100"/>
    </row>
    <row r="1876" customHeight="1" spans="2:8">
      <c r="B1876" s="98"/>
      <c r="C1876" s="98"/>
      <c r="D1876" s="98"/>
      <c r="E1876" s="98"/>
      <c r="F1876" s="99"/>
      <c r="G1876" s="100"/>
      <c r="H1876" s="100"/>
    </row>
    <row r="1877" customHeight="1" spans="2:8">
      <c r="B1877" s="98"/>
      <c r="C1877" s="98"/>
      <c r="D1877" s="98"/>
      <c r="E1877" s="98"/>
      <c r="F1877" s="99"/>
      <c r="G1877" s="100"/>
      <c r="H1877" s="100"/>
    </row>
    <row r="1878" customHeight="1" spans="2:8">
      <c r="B1878" s="98"/>
      <c r="C1878" s="98"/>
      <c r="D1878" s="98"/>
      <c r="E1878" s="98"/>
      <c r="F1878" s="99"/>
      <c r="G1878" s="100"/>
      <c r="H1878" s="100"/>
    </row>
    <row r="1879" customHeight="1" spans="2:8">
      <c r="B1879" s="98"/>
      <c r="C1879" s="98"/>
      <c r="D1879" s="98"/>
      <c r="E1879" s="98"/>
      <c r="F1879" s="99"/>
      <c r="G1879" s="100"/>
      <c r="H1879" s="100"/>
    </row>
    <row r="1880" customHeight="1" spans="2:8">
      <c r="B1880" s="98"/>
      <c r="C1880" s="98"/>
      <c r="D1880" s="98"/>
      <c r="E1880" s="98"/>
      <c r="F1880" s="99"/>
      <c r="G1880" s="100"/>
      <c r="H1880" s="100"/>
    </row>
    <row r="1881" customHeight="1" spans="2:8">
      <c r="B1881" s="98"/>
      <c r="C1881" s="98"/>
      <c r="D1881" s="98"/>
      <c r="E1881" s="98"/>
      <c r="F1881" s="99"/>
      <c r="G1881" s="100"/>
      <c r="H1881" s="100"/>
    </row>
    <row r="1882" customHeight="1" spans="2:8">
      <c r="B1882" s="98"/>
      <c r="C1882" s="98"/>
      <c r="D1882" s="98"/>
      <c r="E1882" s="98"/>
      <c r="F1882" s="99"/>
      <c r="G1882" s="100"/>
      <c r="H1882" s="100"/>
    </row>
    <row r="1883" customHeight="1" spans="2:8">
      <c r="B1883" s="98"/>
      <c r="C1883" s="98"/>
      <c r="D1883" s="98"/>
      <c r="E1883" s="98"/>
      <c r="F1883" s="99"/>
      <c r="G1883" s="100"/>
      <c r="H1883" s="100"/>
    </row>
    <row r="1884" customHeight="1" spans="2:8">
      <c r="B1884" s="98"/>
      <c r="C1884" s="98"/>
      <c r="D1884" s="98"/>
      <c r="E1884" s="98"/>
      <c r="F1884" s="99"/>
      <c r="G1884" s="100"/>
      <c r="H1884" s="100"/>
    </row>
    <row r="1885" customHeight="1" spans="2:8">
      <c r="B1885" s="98"/>
      <c r="C1885" s="98"/>
      <c r="D1885" s="98"/>
      <c r="E1885" s="98"/>
      <c r="F1885" s="99"/>
      <c r="G1885" s="100"/>
      <c r="H1885" s="100"/>
    </row>
    <row r="1886" customHeight="1" spans="2:8">
      <c r="B1886" s="98"/>
      <c r="C1886" s="98"/>
      <c r="D1886" s="98"/>
      <c r="E1886" s="98"/>
      <c r="F1886" s="99"/>
      <c r="G1886" s="100"/>
      <c r="H1886" s="100"/>
    </row>
    <row r="1887" customHeight="1" spans="2:8">
      <c r="B1887" s="98"/>
      <c r="C1887" s="98"/>
      <c r="D1887" s="98"/>
      <c r="E1887" s="98"/>
      <c r="F1887" s="99"/>
      <c r="G1887" s="100"/>
      <c r="H1887" s="100"/>
    </row>
    <row r="1888" customHeight="1" spans="2:8">
      <c r="B1888" s="98"/>
      <c r="C1888" s="98"/>
      <c r="D1888" s="98"/>
      <c r="E1888" s="98"/>
      <c r="F1888" s="99"/>
      <c r="G1888" s="100"/>
      <c r="H1888" s="100"/>
    </row>
    <row r="1889" customHeight="1" spans="2:8">
      <c r="B1889" s="98"/>
      <c r="C1889" s="98"/>
      <c r="D1889" s="98"/>
      <c r="E1889" s="98"/>
      <c r="F1889" s="99"/>
      <c r="G1889" s="100"/>
      <c r="H1889" s="100"/>
    </row>
    <row r="1890" customHeight="1" spans="2:8">
      <c r="B1890" s="98"/>
      <c r="C1890" s="98"/>
      <c r="D1890" s="98"/>
      <c r="E1890" s="98"/>
      <c r="F1890" s="99"/>
      <c r="G1890" s="100"/>
      <c r="H1890" s="100"/>
    </row>
    <row r="1891" customHeight="1" spans="2:8">
      <c r="B1891" s="98"/>
      <c r="C1891" s="98"/>
      <c r="D1891" s="98"/>
      <c r="E1891" s="98"/>
      <c r="F1891" s="99"/>
      <c r="G1891" s="100"/>
      <c r="H1891" s="100"/>
    </row>
    <row r="1892" customHeight="1" spans="2:8">
      <c r="B1892" s="98"/>
      <c r="C1892" s="98"/>
      <c r="D1892" s="98"/>
      <c r="E1892" s="98"/>
      <c r="F1892" s="99"/>
      <c r="G1892" s="100"/>
      <c r="H1892" s="100"/>
    </row>
    <row r="1893" customHeight="1" spans="2:8">
      <c r="B1893" s="98"/>
      <c r="C1893" s="98"/>
      <c r="D1893" s="98"/>
      <c r="E1893" s="98"/>
      <c r="F1893" s="99"/>
      <c r="G1893" s="100"/>
      <c r="H1893" s="100"/>
    </row>
    <row r="1894" customHeight="1" spans="2:8">
      <c r="B1894" s="98"/>
      <c r="C1894" s="98"/>
      <c r="D1894" s="98"/>
      <c r="E1894" s="98"/>
      <c r="F1894" s="99"/>
      <c r="G1894" s="100"/>
      <c r="H1894" s="100"/>
    </row>
    <row r="1895" customHeight="1" spans="2:8">
      <c r="B1895" s="98"/>
      <c r="C1895" s="98"/>
      <c r="D1895" s="98"/>
      <c r="E1895" s="98"/>
      <c r="F1895" s="99"/>
      <c r="G1895" s="100"/>
      <c r="H1895" s="100"/>
    </row>
    <row r="1896" customHeight="1" spans="2:8">
      <c r="B1896" s="98"/>
      <c r="C1896" s="98"/>
      <c r="D1896" s="98"/>
      <c r="E1896" s="98"/>
      <c r="F1896" s="99"/>
      <c r="G1896" s="100"/>
      <c r="H1896" s="100"/>
    </row>
    <row r="1897" customHeight="1" spans="2:8">
      <c r="B1897" s="98"/>
      <c r="C1897" s="98"/>
      <c r="D1897" s="98"/>
      <c r="E1897" s="98"/>
      <c r="F1897" s="99"/>
      <c r="G1897" s="100"/>
      <c r="H1897" s="100"/>
    </row>
    <row r="1898" customHeight="1" spans="2:8">
      <c r="B1898" s="98"/>
      <c r="C1898" s="98"/>
      <c r="D1898" s="98"/>
      <c r="E1898" s="98"/>
      <c r="F1898" s="99"/>
      <c r="G1898" s="100"/>
      <c r="H1898" s="100"/>
    </row>
    <row r="1899" customHeight="1" spans="2:8">
      <c r="B1899" s="98"/>
      <c r="C1899" s="98"/>
      <c r="D1899" s="98"/>
      <c r="E1899" s="98"/>
      <c r="F1899" s="99"/>
      <c r="G1899" s="100"/>
      <c r="H1899" s="100"/>
    </row>
    <row r="1900" customHeight="1" spans="2:8">
      <c r="B1900" s="98"/>
      <c r="C1900" s="98"/>
      <c r="D1900" s="98"/>
      <c r="E1900" s="98"/>
      <c r="F1900" s="99"/>
      <c r="G1900" s="100"/>
      <c r="H1900" s="100"/>
    </row>
    <row r="1901" customHeight="1" spans="2:8">
      <c r="B1901" s="98"/>
      <c r="C1901" s="98"/>
      <c r="D1901" s="98"/>
      <c r="E1901" s="98"/>
      <c r="F1901" s="99"/>
      <c r="G1901" s="100"/>
      <c r="H1901" s="100"/>
    </row>
    <row r="1902" customHeight="1" spans="2:8">
      <c r="B1902" s="98"/>
      <c r="C1902" s="98"/>
      <c r="D1902" s="98"/>
      <c r="E1902" s="98"/>
      <c r="F1902" s="99"/>
      <c r="G1902" s="100"/>
      <c r="H1902" s="100"/>
    </row>
    <row r="1903" customHeight="1" spans="2:8">
      <c r="B1903" s="98"/>
      <c r="C1903" s="98"/>
      <c r="D1903" s="98"/>
      <c r="E1903" s="98"/>
      <c r="F1903" s="99"/>
      <c r="G1903" s="100"/>
      <c r="H1903" s="100"/>
    </row>
    <row r="1904" customHeight="1" spans="2:8">
      <c r="B1904" s="98"/>
      <c r="C1904" s="98"/>
      <c r="D1904" s="98"/>
      <c r="E1904" s="98"/>
      <c r="F1904" s="99"/>
      <c r="G1904" s="100"/>
      <c r="H1904" s="100"/>
    </row>
    <row r="1905" customHeight="1" spans="2:8">
      <c r="B1905" s="98"/>
      <c r="C1905" s="98"/>
      <c r="D1905" s="98"/>
      <c r="E1905" s="98"/>
      <c r="F1905" s="99"/>
      <c r="G1905" s="100"/>
      <c r="H1905" s="100"/>
    </row>
    <row r="1906" customHeight="1" spans="2:8">
      <c r="B1906" s="98"/>
      <c r="C1906" s="98"/>
      <c r="D1906" s="98"/>
      <c r="E1906" s="98"/>
      <c r="F1906" s="99"/>
      <c r="G1906" s="100"/>
      <c r="H1906" s="100"/>
    </row>
    <row r="1907" customHeight="1" spans="2:8">
      <c r="B1907" s="98"/>
      <c r="C1907" s="98"/>
      <c r="D1907" s="98"/>
      <c r="E1907" s="98"/>
      <c r="F1907" s="99"/>
      <c r="G1907" s="100"/>
      <c r="H1907" s="100"/>
    </row>
    <row r="1908" customHeight="1" spans="2:8">
      <c r="B1908" s="98"/>
      <c r="C1908" s="98"/>
      <c r="D1908" s="98"/>
      <c r="E1908" s="98"/>
      <c r="F1908" s="99"/>
      <c r="G1908" s="100"/>
      <c r="H1908" s="100"/>
    </row>
    <row r="1909" customHeight="1" spans="2:8">
      <c r="B1909" s="98"/>
      <c r="C1909" s="98"/>
      <c r="D1909" s="98"/>
      <c r="E1909" s="98"/>
      <c r="F1909" s="99"/>
      <c r="G1909" s="100"/>
      <c r="H1909" s="100"/>
    </row>
    <row r="1910" customHeight="1" spans="2:8">
      <c r="B1910" s="98"/>
      <c r="C1910" s="98"/>
      <c r="D1910" s="98"/>
      <c r="E1910" s="98"/>
      <c r="F1910" s="99"/>
      <c r="G1910" s="100"/>
      <c r="H1910" s="100"/>
    </row>
    <row r="1911" customHeight="1" spans="2:8">
      <c r="B1911" s="98"/>
      <c r="C1911" s="98"/>
      <c r="D1911" s="98"/>
      <c r="E1911" s="98"/>
      <c r="F1911" s="99"/>
      <c r="G1911" s="100"/>
      <c r="H1911" s="100"/>
    </row>
    <row r="1912" customHeight="1" spans="2:8">
      <c r="B1912" s="98"/>
      <c r="C1912" s="98"/>
      <c r="D1912" s="98"/>
      <c r="E1912" s="98"/>
      <c r="F1912" s="99"/>
      <c r="G1912" s="100"/>
      <c r="H1912" s="100"/>
    </row>
    <row r="1913" customHeight="1" spans="2:8">
      <c r="B1913" s="98"/>
      <c r="C1913" s="98"/>
      <c r="D1913" s="98"/>
      <c r="E1913" s="98"/>
      <c r="F1913" s="99"/>
      <c r="G1913" s="100"/>
      <c r="H1913" s="100"/>
    </row>
    <row r="1914" customHeight="1" spans="2:8">
      <c r="B1914" s="98"/>
      <c r="C1914" s="98"/>
      <c r="D1914" s="98"/>
      <c r="E1914" s="98"/>
      <c r="F1914" s="99"/>
      <c r="G1914" s="100"/>
      <c r="H1914" s="100"/>
    </row>
    <row r="1915" customHeight="1" spans="2:8">
      <c r="B1915" s="98"/>
      <c r="C1915" s="98"/>
      <c r="D1915" s="98"/>
      <c r="E1915" s="98"/>
      <c r="F1915" s="99"/>
      <c r="G1915" s="100"/>
      <c r="H1915" s="100"/>
    </row>
    <row r="1916" customHeight="1" spans="2:8">
      <c r="B1916" s="98"/>
      <c r="C1916" s="98"/>
      <c r="D1916" s="98"/>
      <c r="E1916" s="98"/>
      <c r="F1916" s="99"/>
      <c r="G1916" s="100"/>
      <c r="H1916" s="100"/>
    </row>
    <row r="1917" customHeight="1" spans="2:8">
      <c r="B1917" s="98"/>
      <c r="C1917" s="98"/>
      <c r="D1917" s="98"/>
      <c r="E1917" s="98"/>
      <c r="F1917" s="99"/>
      <c r="G1917" s="100"/>
      <c r="H1917" s="100"/>
    </row>
    <row r="1918" customHeight="1" spans="2:8">
      <c r="B1918" s="98"/>
      <c r="C1918" s="98"/>
      <c r="D1918" s="98"/>
      <c r="E1918" s="98"/>
      <c r="F1918" s="99"/>
      <c r="G1918" s="100"/>
      <c r="H1918" s="100"/>
    </row>
    <row r="1919" customHeight="1" spans="2:8">
      <c r="B1919" s="98"/>
      <c r="C1919" s="98"/>
      <c r="D1919" s="98"/>
      <c r="E1919" s="98"/>
      <c r="F1919" s="99"/>
      <c r="G1919" s="100"/>
      <c r="H1919" s="100"/>
    </row>
    <row r="1920" customHeight="1" spans="2:8">
      <c r="B1920" s="98"/>
      <c r="C1920" s="98"/>
      <c r="D1920" s="98"/>
      <c r="E1920" s="98"/>
      <c r="F1920" s="99"/>
      <c r="G1920" s="100"/>
      <c r="H1920" s="100"/>
    </row>
    <row r="1921" customHeight="1" spans="2:8">
      <c r="B1921" s="98"/>
      <c r="C1921" s="98"/>
      <c r="D1921" s="98"/>
      <c r="E1921" s="98"/>
      <c r="F1921" s="99"/>
      <c r="G1921" s="100"/>
      <c r="H1921" s="100"/>
    </row>
    <row r="1922" customHeight="1" spans="2:8">
      <c r="B1922" s="98"/>
      <c r="C1922" s="98"/>
      <c r="D1922" s="98"/>
      <c r="E1922" s="98"/>
      <c r="F1922" s="99"/>
      <c r="G1922" s="100"/>
      <c r="H1922" s="100"/>
    </row>
    <row r="1923" customHeight="1" spans="2:8">
      <c r="B1923" s="98"/>
      <c r="C1923" s="98"/>
      <c r="D1923" s="98"/>
      <c r="E1923" s="98"/>
      <c r="F1923" s="99"/>
      <c r="G1923" s="100"/>
      <c r="H1923" s="100"/>
    </row>
    <row r="1924" customHeight="1" spans="2:8">
      <c r="B1924" s="98"/>
      <c r="C1924" s="98"/>
      <c r="D1924" s="98"/>
      <c r="E1924" s="98"/>
      <c r="F1924" s="99"/>
      <c r="G1924" s="100"/>
      <c r="H1924" s="100"/>
    </row>
    <row r="1925" customHeight="1" spans="2:8">
      <c r="B1925" s="98"/>
      <c r="C1925" s="98"/>
      <c r="D1925" s="98"/>
      <c r="E1925" s="98"/>
      <c r="F1925" s="99"/>
      <c r="G1925" s="100"/>
      <c r="H1925" s="100"/>
    </row>
    <row r="1926" customHeight="1" spans="2:8">
      <c r="B1926" s="98"/>
      <c r="C1926" s="98"/>
      <c r="D1926" s="98"/>
      <c r="E1926" s="98"/>
      <c r="F1926" s="99"/>
      <c r="G1926" s="100"/>
      <c r="H1926" s="100"/>
    </row>
    <row r="1927" customHeight="1" spans="2:8">
      <c r="B1927" s="98"/>
      <c r="C1927" s="98"/>
      <c r="D1927" s="98"/>
      <c r="E1927" s="98"/>
      <c r="F1927" s="99"/>
      <c r="G1927" s="100"/>
      <c r="H1927" s="100"/>
    </row>
    <row r="1928" customHeight="1" spans="2:8">
      <c r="B1928" s="98"/>
      <c r="C1928" s="98"/>
      <c r="D1928" s="98"/>
      <c r="E1928" s="98"/>
      <c r="F1928" s="99"/>
      <c r="G1928" s="100"/>
      <c r="H1928" s="100"/>
    </row>
    <row r="1929" customHeight="1" spans="2:8">
      <c r="B1929" s="98"/>
      <c r="C1929" s="98"/>
      <c r="D1929" s="98"/>
      <c r="E1929" s="98"/>
      <c r="F1929" s="99"/>
      <c r="G1929" s="100"/>
      <c r="H1929" s="100"/>
    </row>
    <row r="1930" customHeight="1" spans="2:8">
      <c r="B1930" s="98"/>
      <c r="C1930" s="98"/>
      <c r="D1930" s="98"/>
      <c r="E1930" s="98"/>
      <c r="F1930" s="99"/>
      <c r="G1930" s="100"/>
      <c r="H1930" s="100"/>
    </row>
    <row r="1931" customHeight="1" spans="2:8">
      <c r="B1931" s="98"/>
      <c r="C1931" s="98"/>
      <c r="D1931" s="98"/>
      <c r="E1931" s="98"/>
      <c r="F1931" s="99"/>
      <c r="G1931" s="100"/>
      <c r="H1931" s="100"/>
    </row>
    <row r="1932" customHeight="1" spans="2:8">
      <c r="B1932" s="98"/>
      <c r="C1932" s="98"/>
      <c r="D1932" s="98"/>
      <c r="E1932" s="98"/>
      <c r="F1932" s="99"/>
      <c r="G1932" s="100"/>
      <c r="H1932" s="100"/>
    </row>
    <row r="1933" customHeight="1" spans="2:8">
      <c r="B1933" s="98"/>
      <c r="C1933" s="98"/>
      <c r="D1933" s="98"/>
      <c r="E1933" s="98"/>
      <c r="F1933" s="99"/>
      <c r="G1933" s="100"/>
      <c r="H1933" s="100"/>
    </row>
    <row r="1934" customHeight="1" spans="2:8">
      <c r="B1934" s="98"/>
      <c r="C1934" s="98"/>
      <c r="D1934" s="98"/>
      <c r="E1934" s="98"/>
      <c r="F1934" s="99"/>
      <c r="G1934" s="100"/>
      <c r="H1934" s="100"/>
    </row>
    <row r="1935" customHeight="1" spans="2:8">
      <c r="B1935" s="98"/>
      <c r="C1935" s="98"/>
      <c r="D1935" s="98"/>
      <c r="E1935" s="98"/>
      <c r="F1935" s="99"/>
      <c r="G1935" s="100"/>
      <c r="H1935" s="100"/>
    </row>
    <row r="1936" customHeight="1" spans="2:8">
      <c r="B1936" s="98"/>
      <c r="C1936" s="98"/>
      <c r="D1936" s="98"/>
      <c r="E1936" s="98"/>
      <c r="F1936" s="99"/>
      <c r="G1936" s="100"/>
      <c r="H1936" s="100"/>
    </row>
    <row r="1937" customHeight="1" spans="2:8">
      <c r="B1937" s="98"/>
      <c r="C1937" s="98"/>
      <c r="D1937" s="98"/>
      <c r="E1937" s="98"/>
      <c r="F1937" s="99"/>
      <c r="G1937" s="100"/>
      <c r="H1937" s="100"/>
    </row>
    <row r="1938" customHeight="1" spans="2:8">
      <c r="B1938" s="98"/>
      <c r="C1938" s="98"/>
      <c r="D1938" s="98"/>
      <c r="E1938" s="98"/>
      <c r="F1938" s="99"/>
      <c r="G1938" s="100"/>
      <c r="H1938" s="100"/>
    </row>
    <row r="1939" customHeight="1" spans="2:8">
      <c r="B1939" s="98"/>
      <c r="C1939" s="98"/>
      <c r="D1939" s="98"/>
      <c r="E1939" s="98"/>
      <c r="F1939" s="99"/>
      <c r="G1939" s="100"/>
      <c r="H1939" s="100"/>
    </row>
    <row r="1940" customHeight="1" spans="2:8">
      <c r="B1940" s="98"/>
      <c r="C1940" s="98"/>
      <c r="D1940" s="98"/>
      <c r="E1940" s="98"/>
      <c r="F1940" s="99"/>
      <c r="G1940" s="100"/>
      <c r="H1940" s="100"/>
    </row>
    <row r="1941" customHeight="1" spans="2:8">
      <c r="B1941" s="98"/>
      <c r="C1941" s="98"/>
      <c r="D1941" s="98"/>
      <c r="E1941" s="98"/>
      <c r="F1941" s="99"/>
      <c r="G1941" s="100"/>
      <c r="H1941" s="100"/>
    </row>
    <row r="1942" customHeight="1" spans="2:8">
      <c r="B1942" s="98"/>
      <c r="C1942" s="98"/>
      <c r="D1942" s="98"/>
      <c r="E1942" s="98"/>
      <c r="F1942" s="99"/>
      <c r="G1942" s="100"/>
      <c r="H1942" s="100"/>
    </row>
    <row r="1943" customHeight="1" spans="2:8">
      <c r="B1943" s="98"/>
      <c r="C1943" s="98"/>
      <c r="D1943" s="98"/>
      <c r="E1943" s="98"/>
      <c r="F1943" s="99"/>
      <c r="G1943" s="100"/>
      <c r="H1943" s="100"/>
    </row>
    <row r="1944" customHeight="1" spans="2:8">
      <c r="B1944" s="98"/>
      <c r="C1944" s="98"/>
      <c r="D1944" s="98"/>
      <c r="E1944" s="98"/>
      <c r="F1944" s="99"/>
      <c r="G1944" s="100"/>
      <c r="H1944" s="100"/>
    </row>
    <row r="1945" customHeight="1" spans="2:8">
      <c r="B1945" s="98"/>
      <c r="C1945" s="98"/>
      <c r="D1945" s="98"/>
      <c r="E1945" s="98"/>
      <c r="F1945" s="99"/>
      <c r="G1945" s="100"/>
      <c r="H1945" s="100"/>
    </row>
    <row r="1946" customHeight="1" spans="2:8">
      <c r="B1946" s="98"/>
      <c r="C1946" s="98"/>
      <c r="D1946" s="98"/>
      <c r="E1946" s="98"/>
      <c r="F1946" s="99"/>
      <c r="G1946" s="100"/>
      <c r="H1946" s="100"/>
    </row>
    <row r="1947" customHeight="1" spans="2:8">
      <c r="B1947" s="98"/>
      <c r="C1947" s="98"/>
      <c r="D1947" s="98"/>
      <c r="E1947" s="98"/>
      <c r="F1947" s="99"/>
      <c r="G1947" s="100"/>
      <c r="H1947" s="100"/>
    </row>
    <row r="1948" customHeight="1" spans="2:8">
      <c r="B1948" s="98"/>
      <c r="C1948" s="98"/>
      <c r="D1948" s="98"/>
      <c r="E1948" s="98"/>
      <c r="F1948" s="99"/>
      <c r="G1948" s="100"/>
      <c r="H1948" s="100"/>
    </row>
    <row r="1949" customHeight="1" spans="2:8">
      <c r="B1949" s="98"/>
      <c r="C1949" s="98"/>
      <c r="D1949" s="98"/>
      <c r="E1949" s="98"/>
      <c r="F1949" s="99"/>
      <c r="G1949" s="100"/>
      <c r="H1949" s="100"/>
    </row>
    <row r="1950" customHeight="1" spans="2:8">
      <c r="B1950" s="98"/>
      <c r="C1950" s="98"/>
      <c r="D1950" s="98"/>
      <c r="E1950" s="98"/>
      <c r="F1950" s="99"/>
      <c r="G1950" s="100"/>
      <c r="H1950" s="100"/>
    </row>
    <row r="1951" customHeight="1" spans="2:8">
      <c r="B1951" s="98"/>
      <c r="C1951" s="98"/>
      <c r="D1951" s="98"/>
      <c r="E1951" s="98"/>
      <c r="F1951" s="99"/>
      <c r="G1951" s="100"/>
      <c r="H1951" s="100"/>
    </row>
    <row r="1952" customHeight="1" spans="2:8">
      <c r="B1952" s="98"/>
      <c r="C1952" s="98"/>
      <c r="D1952" s="98"/>
      <c r="E1952" s="98"/>
      <c r="F1952" s="99"/>
      <c r="G1952" s="100"/>
      <c r="H1952" s="100"/>
    </row>
    <row r="1953" customHeight="1" spans="2:8">
      <c r="B1953" s="98"/>
      <c r="C1953" s="98"/>
      <c r="D1953" s="98"/>
      <c r="E1953" s="98"/>
      <c r="F1953" s="99"/>
      <c r="G1953" s="100"/>
      <c r="H1953" s="100"/>
    </row>
    <row r="1954" customHeight="1" spans="2:8">
      <c r="B1954" s="98"/>
      <c r="C1954" s="98"/>
      <c r="D1954" s="98"/>
      <c r="E1954" s="98"/>
      <c r="F1954" s="99"/>
      <c r="G1954" s="100"/>
      <c r="H1954" s="100"/>
    </row>
    <row r="1955" customHeight="1" spans="2:8">
      <c r="B1955" s="98"/>
      <c r="C1955" s="98"/>
      <c r="D1955" s="98"/>
      <c r="E1955" s="98"/>
      <c r="F1955" s="99"/>
      <c r="G1955" s="100"/>
      <c r="H1955" s="100"/>
    </row>
    <row r="1956" customHeight="1" spans="2:8">
      <c r="B1956" s="98"/>
      <c r="C1956" s="98"/>
      <c r="D1956" s="98"/>
      <c r="E1956" s="98"/>
      <c r="F1956" s="99"/>
      <c r="G1956" s="100"/>
      <c r="H1956" s="100"/>
    </row>
    <row r="1957" customHeight="1" spans="2:8">
      <c r="B1957" s="98"/>
      <c r="C1957" s="98"/>
      <c r="D1957" s="98"/>
      <c r="E1957" s="98"/>
      <c r="F1957" s="99"/>
      <c r="G1957" s="100"/>
      <c r="H1957" s="100"/>
    </row>
    <row r="1958" customHeight="1" spans="2:8">
      <c r="B1958" s="98"/>
      <c r="C1958" s="98"/>
      <c r="D1958" s="98"/>
      <c r="E1958" s="98"/>
      <c r="F1958" s="99"/>
      <c r="G1958" s="100"/>
      <c r="H1958" s="100"/>
    </row>
    <row r="1959" customHeight="1" spans="2:8">
      <c r="B1959" s="98"/>
      <c r="C1959" s="98"/>
      <c r="D1959" s="98"/>
      <c r="E1959" s="98"/>
      <c r="F1959" s="99"/>
      <c r="G1959" s="100"/>
      <c r="H1959" s="100"/>
    </row>
    <row r="1960" customHeight="1" spans="2:8">
      <c r="B1960" s="98"/>
      <c r="C1960" s="98"/>
      <c r="D1960" s="98"/>
      <c r="E1960" s="98"/>
      <c r="F1960" s="99"/>
      <c r="G1960" s="100"/>
      <c r="H1960" s="100"/>
    </row>
    <row r="1961" customHeight="1" spans="2:8">
      <c r="B1961" s="98"/>
      <c r="C1961" s="98"/>
      <c r="D1961" s="98"/>
      <c r="E1961" s="98"/>
      <c r="F1961" s="99"/>
      <c r="G1961" s="100"/>
      <c r="H1961" s="100"/>
    </row>
    <row r="1962" customHeight="1" spans="2:8">
      <c r="B1962" s="98"/>
      <c r="C1962" s="98"/>
      <c r="D1962" s="98"/>
      <c r="E1962" s="98"/>
      <c r="F1962" s="99"/>
      <c r="G1962" s="100"/>
      <c r="H1962" s="100"/>
    </row>
    <row r="1963" customHeight="1" spans="2:8">
      <c r="B1963" s="98"/>
      <c r="C1963" s="98"/>
      <c r="D1963" s="98"/>
      <c r="E1963" s="98"/>
      <c r="F1963" s="99"/>
      <c r="G1963" s="100"/>
      <c r="H1963" s="100"/>
    </row>
    <row r="1964" customHeight="1" spans="2:8">
      <c r="B1964" s="98"/>
      <c r="C1964" s="98"/>
      <c r="D1964" s="98"/>
      <c r="E1964" s="98"/>
      <c r="F1964" s="99"/>
      <c r="G1964" s="100"/>
      <c r="H1964" s="100"/>
    </row>
    <row r="1965" customHeight="1" spans="2:8">
      <c r="B1965" s="98"/>
      <c r="C1965" s="98"/>
      <c r="D1965" s="98"/>
      <c r="E1965" s="98"/>
      <c r="F1965" s="99"/>
      <c r="G1965" s="100"/>
      <c r="H1965" s="100"/>
    </row>
    <row r="1966" customHeight="1" spans="2:8">
      <c r="B1966" s="98"/>
      <c r="C1966" s="98"/>
      <c r="D1966" s="98"/>
      <c r="E1966" s="98"/>
      <c r="F1966" s="99"/>
      <c r="G1966" s="100"/>
      <c r="H1966" s="100"/>
    </row>
    <row r="1967" customHeight="1" spans="2:8">
      <c r="B1967" s="98"/>
      <c r="C1967" s="98"/>
      <c r="D1967" s="98"/>
      <c r="E1967" s="98"/>
      <c r="F1967" s="99"/>
      <c r="G1967" s="100"/>
      <c r="H1967" s="100"/>
    </row>
    <row r="1968" customHeight="1" spans="2:8">
      <c r="B1968" s="98"/>
      <c r="C1968" s="98"/>
      <c r="D1968" s="98"/>
      <c r="E1968" s="98"/>
      <c r="F1968" s="99"/>
      <c r="G1968" s="100"/>
      <c r="H1968" s="100"/>
    </row>
    <row r="1969" customHeight="1" spans="2:8">
      <c r="B1969" s="98"/>
      <c r="C1969" s="98"/>
      <c r="D1969" s="98"/>
      <c r="E1969" s="98"/>
      <c r="F1969" s="99"/>
      <c r="G1969" s="100"/>
      <c r="H1969" s="100"/>
    </row>
    <row r="1970" customHeight="1" spans="2:8">
      <c r="B1970" s="98"/>
      <c r="C1970" s="98"/>
      <c r="D1970" s="98"/>
      <c r="E1970" s="98"/>
      <c r="F1970" s="99"/>
      <c r="G1970" s="100"/>
      <c r="H1970" s="100"/>
    </row>
    <row r="1971" customHeight="1" spans="2:8">
      <c r="B1971" s="98"/>
      <c r="C1971" s="98"/>
      <c r="D1971" s="98"/>
      <c r="E1971" s="98"/>
      <c r="F1971" s="99"/>
      <c r="G1971" s="100"/>
      <c r="H1971" s="100"/>
    </row>
    <row r="1972" customHeight="1" spans="2:8">
      <c r="B1972" s="98"/>
      <c r="C1972" s="98"/>
      <c r="D1972" s="98"/>
      <c r="E1972" s="98"/>
      <c r="F1972" s="99"/>
      <c r="G1972" s="100"/>
      <c r="H1972" s="100"/>
    </row>
    <row r="1973" customHeight="1" spans="2:8">
      <c r="B1973" s="98"/>
      <c r="C1973" s="98"/>
      <c r="D1973" s="98"/>
      <c r="E1973" s="98"/>
      <c r="F1973" s="99"/>
      <c r="G1973" s="100"/>
      <c r="H1973" s="100"/>
    </row>
    <row r="1974" customHeight="1" spans="2:8">
      <c r="B1974" s="98"/>
      <c r="C1974" s="98"/>
      <c r="D1974" s="98"/>
      <c r="E1974" s="98"/>
      <c r="F1974" s="99"/>
      <c r="G1974" s="100"/>
      <c r="H1974" s="100"/>
    </row>
    <row r="1975" customHeight="1" spans="2:8">
      <c r="B1975" s="98"/>
      <c r="C1975" s="98"/>
      <c r="D1975" s="98"/>
      <c r="E1975" s="98"/>
      <c r="F1975" s="99"/>
      <c r="G1975" s="100"/>
      <c r="H1975" s="100"/>
    </row>
    <row r="1976" customHeight="1" spans="2:8">
      <c r="B1976" s="98"/>
      <c r="C1976" s="98"/>
      <c r="D1976" s="98"/>
      <c r="E1976" s="98"/>
      <c r="F1976" s="99"/>
      <c r="G1976" s="100"/>
      <c r="H1976" s="100"/>
    </row>
    <row r="1977" customHeight="1" spans="2:8">
      <c r="B1977" s="98"/>
      <c r="C1977" s="98"/>
      <c r="D1977" s="98"/>
      <c r="E1977" s="98"/>
      <c r="F1977" s="99"/>
      <c r="G1977" s="100"/>
      <c r="H1977" s="100"/>
    </row>
    <row r="1978" customHeight="1" spans="2:8">
      <c r="B1978" s="98"/>
      <c r="C1978" s="98"/>
      <c r="D1978" s="98"/>
      <c r="E1978" s="98"/>
      <c r="F1978" s="99"/>
      <c r="G1978" s="100"/>
      <c r="H1978" s="100"/>
    </row>
    <row r="1979" customHeight="1" spans="2:8">
      <c r="B1979" s="98"/>
      <c r="C1979" s="98"/>
      <c r="D1979" s="98"/>
      <c r="E1979" s="98"/>
      <c r="F1979" s="99"/>
      <c r="G1979" s="100"/>
      <c r="H1979" s="100"/>
    </row>
    <row r="1980" customHeight="1" spans="2:8">
      <c r="B1980" s="98"/>
      <c r="C1980" s="98"/>
      <c r="D1980" s="98"/>
      <c r="E1980" s="98"/>
      <c r="F1980" s="99"/>
      <c r="G1980" s="100"/>
      <c r="H1980" s="100"/>
    </row>
    <row r="1981" customHeight="1" spans="2:8">
      <c r="B1981" s="98"/>
      <c r="C1981" s="98"/>
      <c r="D1981" s="98"/>
      <c r="E1981" s="98"/>
      <c r="F1981" s="99"/>
      <c r="G1981" s="100"/>
      <c r="H1981" s="100"/>
    </row>
    <row r="1982" customHeight="1" spans="2:8">
      <c r="B1982" s="98"/>
      <c r="C1982" s="98"/>
      <c r="D1982" s="98"/>
      <c r="E1982" s="98"/>
      <c r="F1982" s="99"/>
      <c r="G1982" s="100"/>
      <c r="H1982" s="100"/>
    </row>
    <row r="1983" customHeight="1" spans="2:8">
      <c r="B1983" s="98"/>
      <c r="C1983" s="98"/>
      <c r="D1983" s="98"/>
      <c r="E1983" s="98"/>
      <c r="F1983" s="99"/>
      <c r="G1983" s="100"/>
      <c r="H1983" s="100"/>
    </row>
    <row r="1984" customHeight="1" spans="2:8">
      <c r="B1984" s="98"/>
      <c r="C1984" s="98"/>
      <c r="D1984" s="98"/>
      <c r="E1984" s="98"/>
      <c r="F1984" s="99"/>
      <c r="G1984" s="100"/>
      <c r="H1984" s="100"/>
    </row>
    <row r="1985" customHeight="1" spans="2:8">
      <c r="B1985" s="98"/>
      <c r="C1985" s="98"/>
      <c r="D1985" s="98"/>
      <c r="E1985" s="98"/>
      <c r="F1985" s="99"/>
      <c r="G1985" s="100"/>
      <c r="H1985" s="100"/>
    </row>
    <row r="1986" customHeight="1" spans="2:8">
      <c r="B1986" s="98"/>
      <c r="C1986" s="98"/>
      <c r="D1986" s="98"/>
      <c r="E1986" s="98"/>
      <c r="F1986" s="99"/>
      <c r="G1986" s="100"/>
      <c r="H1986" s="100"/>
    </row>
    <row r="1987" customHeight="1" spans="2:8">
      <c r="B1987" s="98"/>
      <c r="C1987" s="98"/>
      <c r="D1987" s="98"/>
      <c r="E1987" s="98"/>
      <c r="F1987" s="99"/>
      <c r="G1987" s="100"/>
      <c r="H1987" s="100"/>
    </row>
    <row r="1988" customHeight="1" spans="2:8">
      <c r="B1988" s="98"/>
      <c r="C1988" s="98"/>
      <c r="D1988" s="98"/>
      <c r="E1988" s="98"/>
      <c r="F1988" s="99"/>
      <c r="G1988" s="100"/>
      <c r="H1988" s="100"/>
    </row>
    <row r="1989" customHeight="1" spans="2:8">
      <c r="B1989" s="98"/>
      <c r="C1989" s="98"/>
      <c r="D1989" s="98"/>
      <c r="E1989" s="98"/>
      <c r="F1989" s="99"/>
      <c r="G1989" s="100"/>
      <c r="H1989" s="100"/>
    </row>
    <row r="1990" customHeight="1" spans="2:8">
      <c r="B1990" s="98"/>
      <c r="C1990" s="98"/>
      <c r="D1990" s="98"/>
      <c r="E1990" s="98"/>
      <c r="F1990" s="99"/>
      <c r="G1990" s="100"/>
      <c r="H1990" s="100"/>
    </row>
    <row r="1991" customHeight="1" spans="2:8">
      <c r="B1991" s="98"/>
      <c r="C1991" s="98"/>
      <c r="D1991" s="98"/>
      <c r="E1991" s="98"/>
      <c r="F1991" s="99"/>
      <c r="G1991" s="100"/>
      <c r="H1991" s="100"/>
    </row>
    <row r="1992" customHeight="1" spans="2:8">
      <c r="B1992" s="98"/>
      <c r="C1992" s="98"/>
      <c r="D1992" s="98"/>
      <c r="E1992" s="98"/>
      <c r="F1992" s="99"/>
      <c r="G1992" s="100"/>
      <c r="H1992" s="100"/>
    </row>
    <row r="1993" customHeight="1" spans="2:8">
      <c r="B1993" s="98"/>
      <c r="C1993" s="98"/>
      <c r="D1993" s="98"/>
      <c r="E1993" s="98"/>
      <c r="F1993" s="99"/>
      <c r="G1993" s="100"/>
      <c r="H1993" s="100"/>
    </row>
    <row r="1994" customHeight="1" spans="2:8">
      <c r="B1994" s="98"/>
      <c r="C1994" s="98"/>
      <c r="D1994" s="98"/>
      <c r="E1994" s="98"/>
      <c r="F1994" s="99"/>
      <c r="G1994" s="100"/>
      <c r="H1994" s="100"/>
    </row>
    <row r="1995" customHeight="1" spans="2:8">
      <c r="B1995" s="98"/>
      <c r="C1995" s="98"/>
      <c r="D1995" s="98"/>
      <c r="E1995" s="98"/>
      <c r="F1995" s="99"/>
      <c r="G1995" s="100"/>
      <c r="H1995" s="100"/>
    </row>
    <row r="1996" customHeight="1" spans="2:8">
      <c r="B1996" s="98"/>
      <c r="C1996" s="98"/>
      <c r="D1996" s="98"/>
      <c r="E1996" s="98"/>
      <c r="F1996" s="99"/>
      <c r="G1996" s="100"/>
      <c r="H1996" s="100"/>
    </row>
    <row r="1997" customHeight="1" spans="2:8">
      <c r="B1997" s="98"/>
      <c r="C1997" s="98"/>
      <c r="D1997" s="98"/>
      <c r="E1997" s="98"/>
      <c r="F1997" s="99"/>
      <c r="G1997" s="100"/>
      <c r="H1997" s="100"/>
    </row>
    <row r="1998" customHeight="1" spans="2:8">
      <c r="B1998" s="98"/>
      <c r="C1998" s="98"/>
      <c r="D1998" s="98"/>
      <c r="E1998" s="98"/>
      <c r="F1998" s="99"/>
      <c r="G1998" s="100"/>
      <c r="H1998" s="100"/>
    </row>
    <row r="1999" customHeight="1" spans="2:8">
      <c r="B1999" s="98"/>
      <c r="C1999" s="98"/>
      <c r="D1999" s="98"/>
      <c r="E1999" s="98"/>
      <c r="F1999" s="99"/>
      <c r="G1999" s="100"/>
      <c r="H1999" s="100"/>
    </row>
    <row r="2000" customHeight="1" spans="2:8">
      <c r="B2000" s="98"/>
      <c r="C2000" s="98"/>
      <c r="D2000" s="98"/>
      <c r="E2000" s="98"/>
      <c r="F2000" s="99"/>
      <c r="G2000" s="100"/>
      <c r="H2000" s="100"/>
    </row>
    <row r="2001" customHeight="1" spans="2:8">
      <c r="B2001" s="98"/>
      <c r="C2001" s="98"/>
      <c r="D2001" s="98"/>
      <c r="E2001" s="98"/>
      <c r="F2001" s="99"/>
      <c r="G2001" s="100"/>
      <c r="H2001" s="100"/>
    </row>
    <row r="2002" customHeight="1" spans="2:8">
      <c r="B2002" s="98"/>
      <c r="C2002" s="98"/>
      <c r="D2002" s="98"/>
      <c r="E2002" s="98"/>
      <c r="F2002" s="99"/>
      <c r="G2002" s="100"/>
      <c r="H2002" s="100"/>
    </row>
    <row r="2003" customHeight="1" spans="2:8">
      <c r="B2003" s="98"/>
      <c r="C2003" s="98"/>
      <c r="D2003" s="98"/>
      <c r="E2003" s="98"/>
      <c r="F2003" s="99"/>
      <c r="G2003" s="100"/>
      <c r="H2003" s="100"/>
    </row>
    <row r="2004" customHeight="1" spans="2:8">
      <c r="B2004" s="98"/>
      <c r="C2004" s="98"/>
      <c r="D2004" s="98"/>
      <c r="E2004" s="98"/>
      <c r="F2004" s="99"/>
      <c r="G2004" s="100"/>
      <c r="H2004" s="100"/>
    </row>
    <row r="2005" customHeight="1" spans="2:8">
      <c r="B2005" s="98"/>
      <c r="C2005" s="98"/>
      <c r="D2005" s="98"/>
      <c r="E2005" s="98"/>
      <c r="F2005" s="99"/>
      <c r="G2005" s="100"/>
      <c r="H2005" s="100"/>
    </row>
    <row r="2006" customHeight="1" spans="2:8">
      <c r="B2006" s="98"/>
      <c r="C2006" s="98"/>
      <c r="D2006" s="98"/>
      <c r="E2006" s="98"/>
      <c r="F2006" s="99"/>
      <c r="G2006" s="100"/>
      <c r="H2006" s="100"/>
    </row>
    <row r="2007" customHeight="1" spans="2:8">
      <c r="B2007" s="98"/>
      <c r="C2007" s="98"/>
      <c r="D2007" s="98"/>
      <c r="E2007" s="98"/>
      <c r="F2007" s="99"/>
      <c r="G2007" s="100"/>
      <c r="H2007" s="100"/>
    </row>
    <row r="2008" customHeight="1" spans="2:8">
      <c r="B2008" s="98"/>
      <c r="C2008" s="98"/>
      <c r="D2008" s="98"/>
      <c r="E2008" s="98"/>
      <c r="F2008" s="99"/>
      <c r="G2008" s="100"/>
      <c r="H2008" s="100"/>
    </row>
    <row r="2009" customHeight="1" spans="2:8">
      <c r="B2009" s="98"/>
      <c r="C2009" s="98"/>
      <c r="D2009" s="98"/>
      <c r="E2009" s="98"/>
      <c r="F2009" s="99"/>
      <c r="G2009" s="100"/>
      <c r="H2009" s="100"/>
    </row>
    <row r="2010" customHeight="1" spans="2:8">
      <c r="B2010" s="98"/>
      <c r="C2010" s="98"/>
      <c r="D2010" s="98"/>
      <c r="E2010" s="98"/>
      <c r="F2010" s="99"/>
      <c r="G2010" s="100"/>
      <c r="H2010" s="100"/>
    </row>
    <row r="2011" customHeight="1" spans="2:8">
      <c r="B2011" s="98"/>
      <c r="C2011" s="98"/>
      <c r="D2011" s="98"/>
      <c r="E2011" s="98"/>
      <c r="F2011" s="99"/>
      <c r="G2011" s="100"/>
      <c r="H2011" s="100"/>
    </row>
    <row r="2012" customHeight="1" spans="2:8">
      <c r="B2012" s="98"/>
      <c r="C2012" s="98"/>
      <c r="D2012" s="98"/>
      <c r="E2012" s="98"/>
      <c r="F2012" s="99"/>
      <c r="G2012" s="100"/>
      <c r="H2012" s="100"/>
    </row>
    <row r="2013" customHeight="1" spans="2:8">
      <c r="B2013" s="98"/>
      <c r="C2013" s="98"/>
      <c r="D2013" s="98"/>
      <c r="E2013" s="98"/>
      <c r="F2013" s="99"/>
      <c r="G2013" s="100"/>
      <c r="H2013" s="100"/>
    </row>
    <row r="2014" customHeight="1" spans="2:8">
      <c r="B2014" s="98"/>
      <c r="C2014" s="98"/>
      <c r="D2014" s="98"/>
      <c r="E2014" s="98"/>
      <c r="F2014" s="99"/>
      <c r="G2014" s="100"/>
      <c r="H2014" s="100"/>
    </row>
    <row r="2015" customHeight="1" spans="2:8">
      <c r="B2015" s="98"/>
      <c r="C2015" s="98"/>
      <c r="D2015" s="98"/>
      <c r="E2015" s="98"/>
      <c r="F2015" s="99"/>
      <c r="G2015" s="100"/>
      <c r="H2015" s="100"/>
    </row>
    <row r="2016" customHeight="1" spans="2:8">
      <c r="B2016" s="98"/>
      <c r="C2016" s="98"/>
      <c r="D2016" s="98"/>
      <c r="E2016" s="98"/>
      <c r="F2016" s="99"/>
      <c r="G2016" s="100"/>
      <c r="H2016" s="100"/>
    </row>
    <row r="2017" customHeight="1" spans="2:8">
      <c r="B2017" s="98"/>
      <c r="C2017" s="98"/>
      <c r="D2017" s="98"/>
      <c r="E2017" s="98"/>
      <c r="F2017" s="99"/>
      <c r="G2017" s="100"/>
      <c r="H2017" s="100"/>
    </row>
    <row r="2018" customHeight="1" spans="2:8">
      <c r="B2018" s="98"/>
      <c r="C2018" s="98"/>
      <c r="D2018" s="98"/>
      <c r="E2018" s="98"/>
      <c r="F2018" s="99"/>
      <c r="G2018" s="100"/>
      <c r="H2018" s="100"/>
    </row>
    <row r="2019" customHeight="1" spans="2:8">
      <c r="B2019" s="98"/>
      <c r="C2019" s="98"/>
      <c r="D2019" s="98"/>
      <c r="E2019" s="98"/>
      <c r="F2019" s="99"/>
      <c r="G2019" s="100"/>
      <c r="H2019" s="100"/>
    </row>
    <row r="2020" customHeight="1" spans="2:8">
      <c r="B2020" s="98"/>
      <c r="C2020" s="98"/>
      <c r="D2020" s="98"/>
      <c r="E2020" s="98"/>
      <c r="F2020" s="99"/>
      <c r="G2020" s="100"/>
      <c r="H2020" s="100"/>
    </row>
    <row r="2021" customHeight="1" spans="2:8">
      <c r="B2021" s="98"/>
      <c r="C2021" s="98"/>
      <c r="D2021" s="98"/>
      <c r="E2021" s="98"/>
      <c r="F2021" s="99"/>
      <c r="G2021" s="100"/>
      <c r="H2021" s="100"/>
    </row>
    <row r="2022" customHeight="1" spans="2:8">
      <c r="B2022" s="98"/>
      <c r="C2022" s="98"/>
      <c r="D2022" s="98"/>
      <c r="E2022" s="98"/>
      <c r="F2022" s="99"/>
      <c r="G2022" s="100"/>
      <c r="H2022" s="100"/>
    </row>
    <row r="2023" customHeight="1" spans="2:8">
      <c r="B2023" s="98"/>
      <c r="C2023" s="98"/>
      <c r="D2023" s="98"/>
      <c r="E2023" s="98"/>
      <c r="F2023" s="99"/>
      <c r="G2023" s="100"/>
      <c r="H2023" s="100"/>
    </row>
    <row r="2024" customHeight="1" spans="2:8">
      <c r="B2024" s="98"/>
      <c r="C2024" s="98"/>
      <c r="D2024" s="98"/>
      <c r="E2024" s="98"/>
      <c r="F2024" s="99"/>
      <c r="G2024" s="100"/>
      <c r="H2024" s="100"/>
    </row>
    <row r="2025" customHeight="1" spans="2:8">
      <c r="B2025" s="98"/>
      <c r="C2025" s="98"/>
      <c r="D2025" s="98"/>
      <c r="E2025" s="98"/>
      <c r="F2025" s="99"/>
      <c r="G2025" s="100"/>
      <c r="H2025" s="100"/>
    </row>
    <row r="2026" customHeight="1" spans="2:8">
      <c r="B2026" s="98"/>
      <c r="C2026" s="98"/>
      <c r="D2026" s="98"/>
      <c r="E2026" s="98"/>
      <c r="F2026" s="99"/>
      <c r="G2026" s="100"/>
      <c r="H2026" s="100"/>
    </row>
    <row r="2027" customHeight="1" spans="2:8">
      <c r="B2027" s="98"/>
      <c r="C2027" s="98"/>
      <c r="D2027" s="98"/>
      <c r="E2027" s="98"/>
      <c r="F2027" s="99"/>
      <c r="G2027" s="100"/>
      <c r="H2027" s="100"/>
    </row>
    <row r="2028" customHeight="1" spans="2:8">
      <c r="B2028" s="98"/>
      <c r="C2028" s="98"/>
      <c r="D2028" s="98"/>
      <c r="E2028" s="98"/>
      <c r="F2028" s="99"/>
      <c r="G2028" s="100"/>
      <c r="H2028" s="100"/>
    </row>
    <row r="2029" customHeight="1" spans="2:8">
      <c r="B2029" s="98"/>
      <c r="C2029" s="98"/>
      <c r="D2029" s="98"/>
      <c r="E2029" s="98"/>
      <c r="F2029" s="99"/>
      <c r="G2029" s="100"/>
      <c r="H2029" s="100"/>
    </row>
    <row r="2030" customHeight="1" spans="2:8">
      <c r="B2030" s="98"/>
      <c r="C2030" s="98"/>
      <c r="D2030" s="98"/>
      <c r="E2030" s="98"/>
      <c r="F2030" s="99"/>
      <c r="G2030" s="100"/>
      <c r="H2030" s="100"/>
    </row>
    <row r="2031" customHeight="1" spans="2:8">
      <c r="B2031" s="98"/>
      <c r="C2031" s="98"/>
      <c r="D2031" s="98"/>
      <c r="E2031" s="98"/>
      <c r="F2031" s="99"/>
      <c r="G2031" s="100"/>
      <c r="H2031" s="100"/>
    </row>
    <row r="2032" customHeight="1" spans="2:8">
      <c r="B2032" s="98"/>
      <c r="C2032" s="98"/>
      <c r="D2032" s="98"/>
      <c r="E2032" s="98"/>
      <c r="F2032" s="99"/>
      <c r="G2032" s="100"/>
      <c r="H2032" s="100"/>
    </row>
    <row r="2033" customHeight="1" spans="2:8">
      <c r="B2033" s="98"/>
      <c r="C2033" s="98"/>
      <c r="D2033" s="98"/>
      <c r="E2033" s="98"/>
      <c r="F2033" s="99"/>
      <c r="G2033" s="100"/>
      <c r="H2033" s="100"/>
    </row>
    <row r="2034" customHeight="1" spans="2:8">
      <c r="B2034" s="98"/>
      <c r="C2034" s="98"/>
      <c r="D2034" s="98"/>
      <c r="E2034" s="98"/>
      <c r="F2034" s="99"/>
      <c r="G2034" s="100"/>
      <c r="H2034" s="100"/>
    </row>
    <row r="2035" customHeight="1" spans="2:8">
      <c r="B2035" s="98"/>
      <c r="C2035" s="98"/>
      <c r="D2035" s="98"/>
      <c r="E2035" s="98"/>
      <c r="F2035" s="99"/>
      <c r="G2035" s="100"/>
      <c r="H2035" s="100"/>
    </row>
    <row r="2036" customHeight="1" spans="2:8">
      <c r="B2036" s="98"/>
      <c r="C2036" s="98"/>
      <c r="D2036" s="98"/>
      <c r="E2036" s="98"/>
      <c r="F2036" s="99"/>
      <c r="G2036" s="100"/>
      <c r="H2036" s="100"/>
    </row>
    <row r="2037" customHeight="1" spans="2:8">
      <c r="B2037" s="98"/>
      <c r="C2037" s="98"/>
      <c r="D2037" s="98"/>
      <c r="E2037" s="98"/>
      <c r="F2037" s="99"/>
      <c r="G2037" s="100"/>
      <c r="H2037" s="100"/>
    </row>
    <row r="2038" customHeight="1" spans="2:8">
      <c r="B2038" s="98"/>
      <c r="C2038" s="98"/>
      <c r="D2038" s="98"/>
      <c r="E2038" s="98"/>
      <c r="F2038" s="99"/>
      <c r="G2038" s="100"/>
      <c r="H2038" s="100"/>
    </row>
    <row r="2039" customHeight="1" spans="2:8">
      <c r="B2039" s="98"/>
      <c r="C2039" s="98"/>
      <c r="D2039" s="98"/>
      <c r="E2039" s="98"/>
      <c r="F2039" s="99"/>
      <c r="G2039" s="100"/>
      <c r="H2039" s="100"/>
    </row>
    <row r="2040" customHeight="1" spans="2:8">
      <c r="B2040" s="98"/>
      <c r="C2040" s="98"/>
      <c r="D2040" s="98"/>
      <c r="E2040" s="98"/>
      <c r="F2040" s="99"/>
      <c r="G2040" s="100"/>
      <c r="H2040" s="100"/>
    </row>
    <row r="2041" customHeight="1" spans="2:8">
      <c r="B2041" s="98"/>
      <c r="C2041" s="98"/>
      <c r="D2041" s="98"/>
      <c r="E2041" s="98"/>
      <c r="F2041" s="99"/>
      <c r="G2041" s="100"/>
      <c r="H2041" s="100"/>
    </row>
    <row r="2042" customHeight="1" spans="2:8">
      <c r="B2042" s="98"/>
      <c r="C2042" s="98"/>
      <c r="D2042" s="98"/>
      <c r="E2042" s="98"/>
      <c r="F2042" s="99"/>
      <c r="G2042" s="100"/>
      <c r="H2042" s="100"/>
    </row>
    <row r="2043" customHeight="1" spans="2:8">
      <c r="B2043" s="98"/>
      <c r="C2043" s="98"/>
      <c r="D2043" s="98"/>
      <c r="E2043" s="98"/>
      <c r="F2043" s="99"/>
      <c r="G2043" s="100"/>
      <c r="H2043" s="100"/>
    </row>
    <row r="2044" customHeight="1" spans="2:8">
      <c r="B2044" s="98"/>
      <c r="C2044" s="98"/>
      <c r="D2044" s="98"/>
      <c r="E2044" s="98"/>
      <c r="F2044" s="99"/>
      <c r="G2044" s="100"/>
      <c r="H2044" s="100"/>
    </row>
    <row r="2045" customHeight="1" spans="2:8">
      <c r="B2045" s="98"/>
      <c r="C2045" s="98"/>
      <c r="D2045" s="98"/>
      <c r="E2045" s="98"/>
      <c r="F2045" s="99"/>
      <c r="G2045" s="100"/>
      <c r="H2045" s="100"/>
    </row>
    <row r="2046" customHeight="1" spans="2:8">
      <c r="B2046" s="98"/>
      <c r="C2046" s="98"/>
      <c r="D2046" s="98"/>
      <c r="E2046" s="98"/>
      <c r="F2046" s="99"/>
      <c r="G2046" s="100"/>
      <c r="H2046" s="100"/>
    </row>
    <row r="2047" customHeight="1" spans="2:8">
      <c r="B2047" s="98"/>
      <c r="C2047" s="98"/>
      <c r="D2047" s="98"/>
      <c r="E2047" s="98"/>
      <c r="F2047" s="99"/>
      <c r="G2047" s="100"/>
      <c r="H2047" s="100"/>
    </row>
    <row r="2048" customHeight="1" spans="2:8">
      <c r="B2048" s="98"/>
      <c r="C2048" s="98"/>
      <c r="D2048" s="98"/>
      <c r="E2048" s="98"/>
      <c r="F2048" s="99"/>
      <c r="G2048" s="100"/>
      <c r="H2048" s="100"/>
    </row>
    <row r="2049" customHeight="1" spans="2:8">
      <c r="B2049" s="98"/>
      <c r="C2049" s="98"/>
      <c r="D2049" s="98"/>
      <c r="E2049" s="98"/>
      <c r="F2049" s="99"/>
      <c r="G2049" s="100"/>
      <c r="H2049" s="100"/>
    </row>
    <row r="2050" customHeight="1" spans="2:8">
      <c r="B2050" s="98"/>
      <c r="C2050" s="98"/>
      <c r="D2050" s="98"/>
      <c r="E2050" s="98"/>
      <c r="F2050" s="99"/>
      <c r="G2050" s="100"/>
      <c r="H2050" s="100"/>
    </row>
    <row r="2051" customHeight="1" spans="2:8">
      <c r="B2051" s="98"/>
      <c r="C2051" s="98"/>
      <c r="D2051" s="98"/>
      <c r="E2051" s="98"/>
      <c r="F2051" s="99"/>
      <c r="G2051" s="100"/>
      <c r="H2051" s="100"/>
    </row>
    <row r="2052" customHeight="1" spans="2:8">
      <c r="B2052" s="98"/>
      <c r="C2052" s="98"/>
      <c r="D2052" s="98"/>
      <c r="E2052" s="98"/>
      <c r="F2052" s="99"/>
      <c r="G2052" s="100"/>
      <c r="H2052" s="100"/>
    </row>
    <row r="2053" customHeight="1" spans="2:8">
      <c r="B2053" s="98"/>
      <c r="C2053" s="98"/>
      <c r="D2053" s="98"/>
      <c r="E2053" s="98"/>
      <c r="F2053" s="99"/>
      <c r="G2053" s="100"/>
      <c r="H2053" s="100"/>
    </row>
    <row r="2054" customHeight="1" spans="2:8">
      <c r="B2054" s="98"/>
      <c r="C2054" s="98"/>
      <c r="D2054" s="98"/>
      <c r="E2054" s="98"/>
      <c r="F2054" s="99"/>
      <c r="G2054" s="100"/>
      <c r="H2054" s="100"/>
    </row>
    <row r="2055" customHeight="1" spans="2:8">
      <c r="B2055" s="98"/>
      <c r="C2055" s="98"/>
      <c r="D2055" s="98"/>
      <c r="E2055" s="98"/>
      <c r="F2055" s="99"/>
      <c r="G2055" s="100"/>
      <c r="H2055" s="100"/>
    </row>
    <row r="2056" customHeight="1" spans="2:8">
      <c r="B2056" s="98"/>
      <c r="C2056" s="98"/>
      <c r="D2056" s="98"/>
      <c r="E2056" s="98"/>
      <c r="F2056" s="99"/>
      <c r="G2056" s="100"/>
      <c r="H2056" s="100"/>
    </row>
    <row r="2057" customHeight="1" spans="2:8">
      <c r="B2057" s="98"/>
      <c r="C2057" s="98"/>
      <c r="D2057" s="98"/>
      <c r="E2057" s="98"/>
      <c r="F2057" s="99"/>
      <c r="G2057" s="100"/>
      <c r="H2057" s="100"/>
    </row>
    <row r="2058" customHeight="1" spans="2:8">
      <c r="B2058" s="98"/>
      <c r="C2058" s="98"/>
      <c r="D2058" s="98"/>
      <c r="E2058" s="98"/>
      <c r="F2058" s="99"/>
      <c r="G2058" s="100"/>
      <c r="H2058" s="100"/>
    </row>
    <row r="2059" customHeight="1" spans="2:8">
      <c r="B2059" s="98"/>
      <c r="C2059" s="98"/>
      <c r="D2059" s="98"/>
      <c r="E2059" s="98"/>
      <c r="F2059" s="99"/>
      <c r="G2059" s="100"/>
      <c r="H2059" s="100"/>
    </row>
    <row r="2060" customHeight="1" spans="2:8">
      <c r="B2060" s="98"/>
      <c r="C2060" s="98"/>
      <c r="D2060" s="98"/>
      <c r="E2060" s="98"/>
      <c r="F2060" s="99"/>
      <c r="G2060" s="100"/>
      <c r="H2060" s="100"/>
    </row>
    <row r="2061" customHeight="1" spans="2:8">
      <c r="B2061" s="98"/>
      <c r="C2061" s="98"/>
      <c r="D2061" s="98"/>
      <c r="E2061" s="98"/>
      <c r="F2061" s="99"/>
      <c r="G2061" s="100"/>
      <c r="H2061" s="100"/>
    </row>
    <row r="2062" customHeight="1" spans="2:8">
      <c r="B2062" s="98"/>
      <c r="C2062" s="98"/>
      <c r="D2062" s="98"/>
      <c r="E2062" s="98"/>
      <c r="F2062" s="99"/>
      <c r="G2062" s="100"/>
      <c r="H2062" s="100"/>
    </row>
    <row r="2063" customHeight="1" spans="2:8">
      <c r="B2063" s="98"/>
      <c r="C2063" s="98"/>
      <c r="D2063" s="98"/>
      <c r="E2063" s="98"/>
      <c r="F2063" s="99"/>
      <c r="G2063" s="100"/>
      <c r="H2063" s="100"/>
    </row>
    <row r="2064" customHeight="1" spans="2:8">
      <c r="B2064" s="98"/>
      <c r="C2064" s="98"/>
      <c r="D2064" s="98"/>
      <c r="E2064" s="98"/>
      <c r="F2064" s="99"/>
      <c r="G2064" s="100"/>
      <c r="H2064" s="100"/>
    </row>
    <row r="2065" customHeight="1" spans="2:8">
      <c r="B2065" s="98"/>
      <c r="C2065" s="98"/>
      <c r="D2065" s="98"/>
      <c r="E2065" s="98"/>
      <c r="F2065" s="99"/>
      <c r="G2065" s="100"/>
      <c r="H2065" s="100"/>
    </row>
    <row r="2066" customHeight="1" spans="2:8">
      <c r="B2066" s="98"/>
      <c r="C2066" s="98"/>
      <c r="D2066" s="98"/>
      <c r="E2066" s="98"/>
      <c r="F2066" s="99"/>
      <c r="G2066" s="100"/>
      <c r="H2066" s="100"/>
    </row>
    <row r="2067" customHeight="1" spans="2:8">
      <c r="B2067" s="98"/>
      <c r="C2067" s="98"/>
      <c r="D2067" s="98"/>
      <c r="E2067" s="98"/>
      <c r="F2067" s="99"/>
      <c r="G2067" s="100"/>
      <c r="H2067" s="100"/>
    </row>
    <row r="2068" customHeight="1" spans="2:8">
      <c r="B2068" s="98"/>
      <c r="C2068" s="98"/>
      <c r="D2068" s="98"/>
      <c r="E2068" s="98"/>
      <c r="F2068" s="99"/>
      <c r="G2068" s="100"/>
      <c r="H2068" s="100"/>
    </row>
    <row r="2069" customHeight="1" spans="2:8">
      <c r="B2069" s="98"/>
      <c r="C2069" s="98"/>
      <c r="D2069" s="98"/>
      <c r="E2069" s="98"/>
      <c r="F2069" s="99"/>
      <c r="G2069" s="100"/>
      <c r="H2069" s="100"/>
    </row>
    <row r="2070" customHeight="1" spans="2:8">
      <c r="B2070" s="98"/>
      <c r="C2070" s="98"/>
      <c r="D2070" s="98"/>
      <c r="E2070" s="98"/>
      <c r="F2070" s="99"/>
      <c r="G2070" s="100"/>
      <c r="H2070" s="100"/>
    </row>
    <row r="2071" customHeight="1" spans="2:8">
      <c r="B2071" s="98"/>
      <c r="C2071" s="98"/>
      <c r="D2071" s="98"/>
      <c r="E2071" s="98"/>
      <c r="F2071" s="99"/>
      <c r="G2071" s="100"/>
      <c r="H2071" s="100"/>
    </row>
    <row r="2072" customHeight="1" spans="2:8">
      <c r="B2072" s="98"/>
      <c r="C2072" s="98"/>
      <c r="D2072" s="98"/>
      <c r="E2072" s="98"/>
      <c r="F2072" s="99"/>
      <c r="G2072" s="100"/>
      <c r="H2072" s="100"/>
    </row>
    <row r="2073" customHeight="1" spans="2:8">
      <c r="B2073" s="98"/>
      <c r="C2073" s="98"/>
      <c r="D2073" s="98"/>
      <c r="E2073" s="98"/>
      <c r="F2073" s="99"/>
      <c r="G2073" s="100"/>
      <c r="H2073" s="100"/>
    </row>
    <row r="2074" customHeight="1" spans="2:8">
      <c r="B2074" s="98"/>
      <c r="C2074" s="98"/>
      <c r="D2074" s="98"/>
      <c r="E2074" s="98"/>
      <c r="F2074" s="99"/>
      <c r="G2074" s="100"/>
      <c r="H2074" s="100"/>
    </row>
    <row r="2075" customHeight="1" spans="2:8">
      <c r="B2075" s="98"/>
      <c r="C2075" s="98"/>
      <c r="D2075" s="98"/>
      <c r="E2075" s="98"/>
      <c r="F2075" s="99"/>
      <c r="G2075" s="100"/>
      <c r="H2075" s="100"/>
    </row>
    <row r="2076" customHeight="1" spans="2:8">
      <c r="B2076" s="98"/>
      <c r="C2076" s="98"/>
      <c r="D2076" s="98"/>
      <c r="E2076" s="98"/>
      <c r="F2076" s="99"/>
      <c r="G2076" s="100"/>
      <c r="H2076" s="100"/>
    </row>
    <row r="2077" customHeight="1" spans="2:8">
      <c r="B2077" s="98"/>
      <c r="C2077" s="98"/>
      <c r="D2077" s="98"/>
      <c r="E2077" s="98"/>
      <c r="F2077" s="99"/>
      <c r="G2077" s="100"/>
      <c r="H2077" s="100"/>
    </row>
    <row r="2078" customHeight="1" spans="2:8">
      <c r="B2078" s="98"/>
      <c r="C2078" s="98"/>
      <c r="D2078" s="98"/>
      <c r="E2078" s="98"/>
      <c r="F2078" s="99"/>
      <c r="G2078" s="100"/>
      <c r="H2078" s="100"/>
    </row>
    <row r="2079" customHeight="1" spans="2:8">
      <c r="B2079" s="98"/>
      <c r="C2079" s="98"/>
      <c r="D2079" s="98"/>
      <c r="E2079" s="98"/>
      <c r="F2079" s="99"/>
      <c r="G2079" s="100"/>
      <c r="H2079" s="100"/>
    </row>
    <row r="2080" customHeight="1" spans="2:8">
      <c r="B2080" s="98"/>
      <c r="C2080" s="98"/>
      <c r="D2080" s="98"/>
      <c r="E2080" s="98"/>
      <c r="F2080" s="99"/>
      <c r="G2080" s="100"/>
      <c r="H2080" s="100"/>
    </row>
    <row r="2081" customHeight="1" spans="2:8">
      <c r="B2081" s="98"/>
      <c r="C2081" s="98"/>
      <c r="D2081" s="98"/>
      <c r="E2081" s="98"/>
      <c r="F2081" s="99"/>
      <c r="G2081" s="100"/>
      <c r="H2081" s="100"/>
    </row>
    <row r="2082" customHeight="1" spans="2:8">
      <c r="B2082" s="98"/>
      <c r="C2082" s="98"/>
      <c r="D2082" s="98"/>
      <c r="E2082" s="98"/>
      <c r="F2082" s="99"/>
      <c r="G2082" s="100"/>
      <c r="H2082" s="100"/>
    </row>
    <row r="2083" customHeight="1" spans="2:8">
      <c r="B2083" s="98"/>
      <c r="C2083" s="98"/>
      <c r="D2083" s="98"/>
      <c r="E2083" s="98"/>
      <c r="F2083" s="99"/>
      <c r="G2083" s="100"/>
      <c r="H2083" s="100"/>
    </row>
    <row r="2084" customHeight="1" spans="2:8">
      <c r="B2084" s="98"/>
      <c r="C2084" s="98"/>
      <c r="D2084" s="98"/>
      <c r="E2084" s="98"/>
      <c r="F2084" s="99"/>
      <c r="G2084" s="100"/>
      <c r="H2084" s="100"/>
    </row>
    <row r="2085" customHeight="1" spans="2:8">
      <c r="B2085" s="98"/>
      <c r="C2085" s="98"/>
      <c r="D2085" s="98"/>
      <c r="E2085" s="98"/>
      <c r="F2085" s="99"/>
      <c r="G2085" s="100"/>
      <c r="H2085" s="100"/>
    </row>
    <row r="2086" customHeight="1" spans="2:8">
      <c r="B2086" s="98"/>
      <c r="C2086" s="98"/>
      <c r="D2086" s="98"/>
      <c r="E2086" s="98"/>
      <c r="F2086" s="99"/>
      <c r="G2086" s="100"/>
      <c r="H2086" s="100"/>
    </row>
    <row r="2087" customHeight="1" spans="2:8">
      <c r="B2087" s="98"/>
      <c r="C2087" s="98"/>
      <c r="D2087" s="98"/>
      <c r="E2087" s="98"/>
      <c r="F2087" s="99"/>
      <c r="G2087" s="100"/>
      <c r="H2087" s="100"/>
    </row>
    <row r="2088" customHeight="1" spans="2:8">
      <c r="B2088" s="98"/>
      <c r="C2088" s="98"/>
      <c r="D2088" s="98"/>
      <c r="E2088" s="98"/>
      <c r="F2088" s="99"/>
      <c r="G2088" s="100"/>
      <c r="H2088" s="100"/>
    </row>
    <row r="2089" customHeight="1" spans="2:8">
      <c r="B2089" s="98"/>
      <c r="C2089" s="98"/>
      <c r="D2089" s="98"/>
      <c r="E2089" s="98"/>
      <c r="F2089" s="99"/>
      <c r="G2089" s="100"/>
      <c r="H2089" s="100"/>
    </row>
    <row r="2090" customHeight="1" spans="2:8">
      <c r="B2090" s="98"/>
      <c r="C2090" s="98"/>
      <c r="D2090" s="98"/>
      <c r="E2090" s="98"/>
      <c r="F2090" s="99"/>
      <c r="G2090" s="100"/>
      <c r="H2090" s="100"/>
    </row>
    <row r="2091" customHeight="1" spans="2:8">
      <c r="B2091" s="98"/>
      <c r="C2091" s="98"/>
      <c r="D2091" s="98"/>
      <c r="E2091" s="98"/>
      <c r="F2091" s="99"/>
      <c r="G2091" s="100"/>
      <c r="H2091" s="100"/>
    </row>
    <row r="2092" customHeight="1" spans="2:8">
      <c r="B2092" s="98"/>
      <c r="C2092" s="98"/>
      <c r="D2092" s="98"/>
      <c r="E2092" s="98"/>
      <c r="F2092" s="99"/>
      <c r="G2092" s="100"/>
      <c r="H2092" s="100"/>
    </row>
    <row r="2093" customHeight="1" spans="2:8">
      <c r="B2093" s="98"/>
      <c r="C2093" s="98"/>
      <c r="D2093" s="98"/>
      <c r="E2093" s="98"/>
      <c r="F2093" s="99"/>
      <c r="G2093" s="100"/>
      <c r="H2093" s="100"/>
    </row>
    <row r="2094" customHeight="1" spans="2:8">
      <c r="B2094" s="98"/>
      <c r="C2094" s="98"/>
      <c r="D2094" s="98"/>
      <c r="E2094" s="98"/>
      <c r="F2094" s="99"/>
      <c r="G2094" s="100"/>
      <c r="H2094" s="100"/>
    </row>
    <row r="2095" customHeight="1" spans="2:8">
      <c r="B2095" s="98"/>
      <c r="C2095" s="98"/>
      <c r="D2095" s="98"/>
      <c r="E2095" s="98"/>
      <c r="F2095" s="99"/>
      <c r="G2095" s="100"/>
      <c r="H2095" s="100"/>
    </row>
    <row r="2096" customHeight="1" spans="2:8">
      <c r="B2096" s="98"/>
      <c r="C2096" s="98"/>
      <c r="D2096" s="98"/>
      <c r="E2096" s="98"/>
      <c r="F2096" s="99"/>
      <c r="G2096" s="100"/>
      <c r="H2096" s="100"/>
    </row>
    <row r="2097" customHeight="1" spans="2:8">
      <c r="B2097" s="98"/>
      <c r="C2097" s="98"/>
      <c r="D2097" s="98"/>
      <c r="E2097" s="98"/>
      <c r="F2097" s="99"/>
      <c r="G2097" s="100"/>
      <c r="H2097" s="100"/>
    </row>
    <row r="2098" customHeight="1" spans="2:8">
      <c r="B2098" s="98"/>
      <c r="C2098" s="98"/>
      <c r="D2098" s="98"/>
      <c r="E2098" s="98"/>
      <c r="F2098" s="99"/>
      <c r="G2098" s="100"/>
      <c r="H2098" s="100"/>
    </row>
    <row r="2099" customHeight="1" spans="2:8">
      <c r="B2099" s="98"/>
      <c r="C2099" s="98"/>
      <c r="D2099" s="98"/>
      <c r="E2099" s="98"/>
      <c r="F2099" s="99"/>
      <c r="G2099" s="100"/>
      <c r="H2099" s="100"/>
    </row>
    <row r="2100" customHeight="1" spans="2:8">
      <c r="B2100" s="98"/>
      <c r="C2100" s="98"/>
      <c r="D2100" s="98"/>
      <c r="E2100" s="98"/>
      <c r="F2100" s="99"/>
      <c r="G2100" s="100"/>
      <c r="H2100" s="100"/>
    </row>
    <row r="2101" customHeight="1" spans="2:8">
      <c r="B2101" s="98"/>
      <c r="C2101" s="98"/>
      <c r="D2101" s="98"/>
      <c r="E2101" s="98"/>
      <c r="F2101" s="99"/>
      <c r="G2101" s="100"/>
      <c r="H2101" s="100"/>
    </row>
    <row r="2102" customHeight="1" spans="2:8">
      <c r="B2102" s="98"/>
      <c r="C2102" s="98"/>
      <c r="D2102" s="98"/>
      <c r="E2102" s="98"/>
      <c r="F2102" s="99"/>
      <c r="G2102" s="100"/>
      <c r="H2102" s="100"/>
    </row>
    <row r="2103" customHeight="1" spans="2:8">
      <c r="B2103" s="98"/>
      <c r="C2103" s="98"/>
      <c r="D2103" s="98"/>
      <c r="E2103" s="98"/>
      <c r="F2103" s="99"/>
      <c r="G2103" s="100"/>
      <c r="H2103" s="100"/>
    </row>
    <row r="2104" customHeight="1" spans="2:8">
      <c r="B2104" s="98"/>
      <c r="C2104" s="98"/>
      <c r="D2104" s="98"/>
      <c r="E2104" s="98"/>
      <c r="F2104" s="99"/>
      <c r="G2104" s="100"/>
      <c r="H2104" s="100"/>
    </row>
    <row r="2105" customHeight="1" spans="2:8">
      <c r="B2105" s="98"/>
      <c r="C2105" s="98"/>
      <c r="D2105" s="98"/>
      <c r="E2105" s="98"/>
      <c r="F2105" s="99"/>
      <c r="G2105" s="100"/>
      <c r="H2105" s="100"/>
    </row>
    <row r="2106" customHeight="1" spans="2:8">
      <c r="B2106" s="98"/>
      <c r="C2106" s="98"/>
      <c r="D2106" s="98"/>
      <c r="E2106" s="98"/>
      <c r="F2106" s="99"/>
      <c r="G2106" s="100"/>
      <c r="H2106" s="100"/>
    </row>
    <row r="2107" customHeight="1" spans="2:8">
      <c r="B2107" s="98"/>
      <c r="C2107" s="98"/>
      <c r="D2107" s="98"/>
      <c r="E2107" s="98"/>
      <c r="F2107" s="99"/>
      <c r="G2107" s="100"/>
      <c r="H2107" s="100"/>
    </row>
    <row r="2108" customHeight="1" spans="2:8">
      <c r="B2108" s="98"/>
      <c r="C2108" s="98"/>
      <c r="D2108" s="98"/>
      <c r="E2108" s="98"/>
      <c r="F2108" s="99"/>
      <c r="G2108" s="100"/>
      <c r="H2108" s="100"/>
    </row>
    <row r="2109" customHeight="1" spans="2:8">
      <c r="B2109" s="98"/>
      <c r="C2109" s="98"/>
      <c r="D2109" s="98"/>
      <c r="E2109" s="98"/>
      <c r="F2109" s="99"/>
      <c r="G2109" s="100"/>
      <c r="H2109" s="100"/>
    </row>
    <row r="2110" customHeight="1" spans="2:8">
      <c r="B2110" s="98"/>
      <c r="C2110" s="98"/>
      <c r="D2110" s="98"/>
      <c r="E2110" s="98"/>
      <c r="F2110" s="99"/>
      <c r="G2110" s="100"/>
      <c r="H2110" s="100"/>
    </row>
    <row r="2111" customHeight="1" spans="2:8">
      <c r="B2111" s="98"/>
      <c r="C2111" s="98"/>
      <c r="D2111" s="98"/>
      <c r="E2111" s="98"/>
      <c r="F2111" s="99"/>
      <c r="G2111" s="100"/>
      <c r="H2111" s="100"/>
    </row>
    <row r="2112" customHeight="1" spans="2:8">
      <c r="B2112" s="98"/>
      <c r="C2112" s="98"/>
      <c r="D2112" s="98"/>
      <c r="E2112" s="98"/>
      <c r="F2112" s="99"/>
      <c r="G2112" s="100"/>
      <c r="H2112" s="100"/>
    </row>
    <row r="2113" customHeight="1" spans="2:8">
      <c r="B2113" s="98"/>
      <c r="C2113" s="98"/>
      <c r="D2113" s="98"/>
      <c r="E2113" s="98"/>
      <c r="F2113" s="99"/>
      <c r="G2113" s="100"/>
      <c r="H2113" s="100"/>
    </row>
    <row r="2114" customHeight="1" spans="2:8">
      <c r="B2114" s="98"/>
      <c r="C2114" s="98"/>
      <c r="D2114" s="98"/>
      <c r="E2114" s="98"/>
      <c r="F2114" s="99"/>
      <c r="G2114" s="100"/>
      <c r="H2114" s="100"/>
    </row>
    <row r="2115" customHeight="1" spans="2:8">
      <c r="B2115" s="98"/>
      <c r="C2115" s="98"/>
      <c r="D2115" s="98"/>
      <c r="E2115" s="98"/>
      <c r="F2115" s="99"/>
      <c r="G2115" s="100"/>
      <c r="H2115" s="100"/>
    </row>
    <row r="2116" customHeight="1" spans="2:8">
      <c r="B2116" s="98"/>
      <c r="C2116" s="98"/>
      <c r="D2116" s="98"/>
      <c r="E2116" s="98"/>
      <c r="F2116" s="99"/>
      <c r="G2116" s="100"/>
      <c r="H2116" s="100"/>
    </row>
    <row r="2117" customHeight="1" spans="2:8">
      <c r="B2117" s="98"/>
      <c r="C2117" s="98"/>
      <c r="D2117" s="98"/>
      <c r="E2117" s="98"/>
      <c r="F2117" s="99"/>
      <c r="G2117" s="100"/>
      <c r="H2117" s="100"/>
    </row>
    <row r="2118" customHeight="1" spans="2:8">
      <c r="B2118" s="98"/>
      <c r="C2118" s="98"/>
      <c r="D2118" s="98"/>
      <c r="E2118" s="98"/>
      <c r="F2118" s="99"/>
      <c r="G2118" s="100"/>
      <c r="H2118" s="100"/>
    </row>
    <row r="2119" customHeight="1" spans="2:8">
      <c r="B2119" s="98"/>
      <c r="C2119" s="98"/>
      <c r="D2119" s="98"/>
      <c r="E2119" s="98"/>
      <c r="F2119" s="99"/>
      <c r="G2119" s="100"/>
      <c r="H2119" s="100"/>
    </row>
    <row r="2120" customHeight="1" spans="2:8">
      <c r="B2120" s="98"/>
      <c r="C2120" s="98"/>
      <c r="D2120" s="98"/>
      <c r="E2120" s="98"/>
      <c r="F2120" s="99"/>
      <c r="G2120" s="100"/>
      <c r="H2120" s="100"/>
    </row>
    <row r="2121" customHeight="1" spans="2:8">
      <c r="B2121" s="98"/>
      <c r="C2121" s="98"/>
      <c r="D2121" s="98"/>
      <c r="E2121" s="98"/>
      <c r="F2121" s="99"/>
      <c r="G2121" s="100"/>
      <c r="H2121" s="100"/>
    </row>
    <row r="2122" customHeight="1" spans="2:8">
      <c r="B2122" s="98"/>
      <c r="C2122" s="98"/>
      <c r="D2122" s="98"/>
      <c r="E2122" s="98"/>
      <c r="F2122" s="99"/>
      <c r="G2122" s="100"/>
      <c r="H2122" s="100"/>
    </row>
    <row r="2123" customHeight="1" spans="2:8">
      <c r="B2123" s="98"/>
      <c r="C2123" s="98"/>
      <c r="D2123" s="98"/>
      <c r="E2123" s="98"/>
      <c r="F2123" s="99"/>
      <c r="G2123" s="100"/>
      <c r="H2123" s="100"/>
    </row>
    <row r="2124" customHeight="1" spans="2:8">
      <c r="B2124" s="98"/>
      <c r="C2124" s="98"/>
      <c r="D2124" s="98"/>
      <c r="E2124" s="98"/>
      <c r="F2124" s="99"/>
      <c r="G2124" s="100"/>
      <c r="H2124" s="100"/>
    </row>
    <row r="2125" customHeight="1" spans="2:8">
      <c r="B2125" s="98"/>
      <c r="C2125" s="98"/>
      <c r="D2125" s="98"/>
      <c r="E2125" s="98"/>
      <c r="F2125" s="99"/>
      <c r="G2125" s="100"/>
      <c r="H2125" s="100"/>
    </row>
    <row r="2126" customHeight="1" spans="2:8">
      <c r="B2126" s="98"/>
      <c r="C2126" s="98"/>
      <c r="D2126" s="98"/>
      <c r="E2126" s="98"/>
      <c r="F2126" s="99"/>
      <c r="G2126" s="100"/>
      <c r="H2126" s="100"/>
    </row>
    <row r="2127" customHeight="1" spans="2:8">
      <c r="B2127" s="98"/>
      <c r="C2127" s="98"/>
      <c r="D2127" s="98"/>
      <c r="E2127" s="98"/>
      <c r="F2127" s="99"/>
      <c r="G2127" s="100"/>
      <c r="H2127" s="100"/>
    </row>
    <row r="2128" customHeight="1" spans="2:8">
      <c r="B2128" s="98"/>
      <c r="C2128" s="98"/>
      <c r="D2128" s="98"/>
      <c r="E2128" s="98"/>
      <c r="F2128" s="99"/>
      <c r="G2128" s="100"/>
      <c r="H2128" s="100"/>
    </row>
    <row r="2129" customHeight="1" spans="2:8">
      <c r="B2129" s="98"/>
      <c r="C2129" s="98"/>
      <c r="D2129" s="98"/>
      <c r="E2129" s="98"/>
      <c r="F2129" s="99"/>
      <c r="G2129" s="100"/>
      <c r="H2129" s="100"/>
    </row>
    <row r="2130" customHeight="1" spans="2:8">
      <c r="B2130" s="98"/>
      <c r="C2130" s="98"/>
      <c r="D2130" s="98"/>
      <c r="E2130" s="98"/>
      <c r="F2130" s="99"/>
      <c r="G2130" s="100"/>
      <c r="H2130" s="100"/>
    </row>
    <row r="2131" customHeight="1" spans="2:8">
      <c r="B2131" s="98"/>
      <c r="C2131" s="98"/>
      <c r="D2131" s="98"/>
      <c r="E2131" s="98"/>
      <c r="F2131" s="99"/>
      <c r="G2131" s="100"/>
      <c r="H2131" s="100"/>
    </row>
    <row r="2132" customHeight="1" spans="2:8">
      <c r="B2132" s="98"/>
      <c r="C2132" s="98"/>
      <c r="D2132" s="98"/>
      <c r="E2132" s="98"/>
      <c r="F2132" s="99"/>
      <c r="G2132" s="100"/>
      <c r="H2132" s="100"/>
    </row>
    <row r="2133" customHeight="1" spans="2:8">
      <c r="B2133" s="98"/>
      <c r="C2133" s="98"/>
      <c r="D2133" s="98"/>
      <c r="E2133" s="98"/>
      <c r="F2133" s="99"/>
      <c r="G2133" s="100"/>
      <c r="H2133" s="100"/>
    </row>
    <row r="2134" customHeight="1" spans="2:8">
      <c r="B2134" s="98"/>
      <c r="C2134" s="98"/>
      <c r="D2134" s="98"/>
      <c r="E2134" s="98"/>
      <c r="F2134" s="99"/>
      <c r="G2134" s="100"/>
      <c r="H2134" s="100"/>
    </row>
    <row r="2135" customHeight="1" spans="2:8">
      <c r="B2135" s="98"/>
      <c r="C2135" s="98"/>
      <c r="D2135" s="98"/>
      <c r="E2135" s="98"/>
      <c r="F2135" s="99"/>
      <c r="G2135" s="100"/>
      <c r="H2135" s="100"/>
    </row>
    <row r="2136" customHeight="1" spans="2:8">
      <c r="B2136" s="98"/>
      <c r="C2136" s="98"/>
      <c r="D2136" s="98"/>
      <c r="E2136" s="98"/>
      <c r="F2136" s="99"/>
      <c r="G2136" s="100"/>
      <c r="H2136" s="100"/>
    </row>
    <row r="2137" customHeight="1" spans="2:8">
      <c r="B2137" s="98"/>
      <c r="C2137" s="98"/>
      <c r="D2137" s="98"/>
      <c r="E2137" s="98"/>
      <c r="F2137" s="99"/>
      <c r="G2137" s="100"/>
      <c r="H2137" s="100"/>
    </row>
    <row r="2138" customHeight="1" spans="2:8">
      <c r="B2138" s="98"/>
      <c r="C2138" s="98"/>
      <c r="D2138" s="98"/>
      <c r="E2138" s="98"/>
      <c r="F2138" s="99"/>
      <c r="G2138" s="100"/>
      <c r="H2138" s="100"/>
    </row>
    <row r="2139" customHeight="1" spans="2:8">
      <c r="B2139" s="98"/>
      <c r="C2139" s="98"/>
      <c r="D2139" s="98"/>
      <c r="E2139" s="98"/>
      <c r="F2139" s="99"/>
      <c r="G2139" s="100"/>
      <c r="H2139" s="100"/>
    </row>
    <row r="2140" customHeight="1" spans="2:8">
      <c r="B2140" s="98"/>
      <c r="C2140" s="98"/>
      <c r="D2140" s="98"/>
      <c r="E2140" s="98"/>
      <c r="F2140" s="99"/>
      <c r="G2140" s="100"/>
      <c r="H2140" s="100"/>
    </row>
    <row r="2141" customHeight="1" spans="2:8">
      <c r="B2141" s="98"/>
      <c r="C2141" s="98"/>
      <c r="D2141" s="98"/>
      <c r="E2141" s="98"/>
      <c r="F2141" s="99"/>
      <c r="G2141" s="100"/>
      <c r="H2141" s="100"/>
    </row>
    <row r="2142" customHeight="1" spans="2:8">
      <c r="B2142" s="98"/>
      <c r="C2142" s="98"/>
      <c r="D2142" s="98"/>
      <c r="E2142" s="98"/>
      <c r="F2142" s="99"/>
      <c r="G2142" s="100"/>
      <c r="H2142" s="100"/>
    </row>
    <row r="2143" customHeight="1" spans="2:8">
      <c r="B2143" s="98"/>
      <c r="C2143" s="98"/>
      <c r="D2143" s="98"/>
      <c r="E2143" s="98"/>
      <c r="F2143" s="99"/>
      <c r="G2143" s="100"/>
      <c r="H2143" s="100"/>
    </row>
    <row r="2144" customHeight="1" spans="2:8">
      <c r="B2144" s="98"/>
      <c r="C2144" s="98"/>
      <c r="D2144" s="98"/>
      <c r="E2144" s="98"/>
      <c r="F2144" s="99"/>
      <c r="G2144" s="100"/>
      <c r="H2144" s="100"/>
    </row>
    <row r="2145" customHeight="1" spans="2:8">
      <c r="B2145" s="98"/>
      <c r="C2145" s="98"/>
      <c r="D2145" s="98"/>
      <c r="E2145" s="98"/>
      <c r="F2145" s="99"/>
      <c r="G2145" s="100"/>
      <c r="H2145" s="100"/>
    </row>
    <row r="2146" customHeight="1" spans="2:8">
      <c r="B2146" s="98"/>
      <c r="C2146" s="98"/>
      <c r="D2146" s="98"/>
      <c r="E2146" s="98"/>
      <c r="F2146" s="99"/>
      <c r="G2146" s="100"/>
      <c r="H2146" s="100"/>
    </row>
    <row r="2147" customHeight="1" spans="2:8">
      <c r="B2147" s="98"/>
      <c r="C2147" s="98"/>
      <c r="D2147" s="98"/>
      <c r="E2147" s="98"/>
      <c r="F2147" s="99"/>
      <c r="G2147" s="100"/>
      <c r="H2147" s="100"/>
    </row>
    <row r="2148" customHeight="1" spans="2:8">
      <c r="B2148" s="98"/>
      <c r="C2148" s="98"/>
      <c r="D2148" s="98"/>
      <c r="E2148" s="98"/>
      <c r="F2148" s="99"/>
      <c r="G2148" s="100"/>
      <c r="H2148" s="100"/>
    </row>
    <row r="2149" customHeight="1" spans="2:8">
      <c r="B2149" s="98"/>
      <c r="C2149" s="98"/>
      <c r="D2149" s="98"/>
      <c r="E2149" s="98"/>
      <c r="F2149" s="99"/>
      <c r="G2149" s="100"/>
      <c r="H2149" s="100"/>
    </row>
    <row r="2150" customHeight="1" spans="2:8">
      <c r="B2150" s="98"/>
      <c r="C2150" s="98"/>
      <c r="D2150" s="98"/>
      <c r="E2150" s="98"/>
      <c r="F2150" s="99"/>
      <c r="G2150" s="100"/>
      <c r="H2150" s="100"/>
    </row>
    <row r="2151" customHeight="1" spans="2:8">
      <c r="B2151" s="98"/>
      <c r="C2151" s="98"/>
      <c r="D2151" s="98"/>
      <c r="E2151" s="98"/>
      <c r="F2151" s="99"/>
      <c r="G2151" s="100"/>
      <c r="H2151" s="100"/>
    </row>
    <row r="2152" customHeight="1" spans="2:8">
      <c r="B2152" s="98"/>
      <c r="C2152" s="98"/>
      <c r="D2152" s="98"/>
      <c r="E2152" s="98"/>
      <c r="F2152" s="99"/>
      <c r="G2152" s="100"/>
      <c r="H2152" s="100"/>
    </row>
    <row r="2153" customHeight="1" spans="2:8">
      <c r="B2153" s="98"/>
      <c r="C2153" s="98"/>
      <c r="D2153" s="98"/>
      <c r="E2153" s="98"/>
      <c r="F2153" s="99"/>
      <c r="G2153" s="100"/>
      <c r="H2153" s="100"/>
    </row>
    <row r="2154" customHeight="1" spans="2:8">
      <c r="B2154" s="98"/>
      <c r="C2154" s="98"/>
      <c r="D2154" s="98"/>
      <c r="E2154" s="98"/>
      <c r="F2154" s="99"/>
      <c r="G2154" s="100"/>
      <c r="H2154" s="100"/>
    </row>
    <row r="2155" customHeight="1" spans="2:8">
      <c r="B2155" s="98"/>
      <c r="C2155" s="98"/>
      <c r="D2155" s="98"/>
      <c r="E2155" s="98"/>
      <c r="F2155" s="99"/>
      <c r="G2155" s="100"/>
      <c r="H2155" s="100"/>
    </row>
    <row r="2156" customHeight="1" spans="2:8">
      <c r="B2156" s="98"/>
      <c r="C2156" s="98"/>
      <c r="D2156" s="98"/>
      <c r="E2156" s="98"/>
      <c r="F2156" s="99"/>
      <c r="G2156" s="100"/>
      <c r="H2156" s="100"/>
    </row>
    <row r="2157" customHeight="1" spans="2:8">
      <c r="B2157" s="98"/>
      <c r="C2157" s="98"/>
      <c r="D2157" s="98"/>
      <c r="E2157" s="98"/>
      <c r="F2157" s="99"/>
      <c r="G2157" s="100"/>
      <c r="H2157" s="100"/>
    </row>
    <row r="2158" customHeight="1" spans="2:8">
      <c r="B2158" s="98"/>
      <c r="C2158" s="98"/>
      <c r="D2158" s="98"/>
      <c r="E2158" s="98"/>
      <c r="F2158" s="99"/>
      <c r="G2158" s="100"/>
      <c r="H2158" s="100"/>
    </row>
    <row r="2159" customHeight="1" spans="2:8">
      <c r="B2159" s="98"/>
      <c r="C2159" s="98"/>
      <c r="D2159" s="98"/>
      <c r="E2159" s="98"/>
      <c r="F2159" s="99"/>
      <c r="G2159" s="100"/>
      <c r="H2159" s="100"/>
    </row>
    <row r="2160" customHeight="1" spans="2:8">
      <c r="B2160" s="98"/>
      <c r="C2160" s="98"/>
      <c r="D2160" s="98"/>
      <c r="E2160" s="98"/>
      <c r="F2160" s="99"/>
      <c r="G2160" s="100"/>
      <c r="H2160" s="100"/>
    </row>
    <row r="2161" customHeight="1" spans="2:8">
      <c r="B2161" s="98"/>
      <c r="C2161" s="98"/>
      <c r="D2161" s="98"/>
      <c r="E2161" s="98"/>
      <c r="F2161" s="99"/>
      <c r="G2161" s="100"/>
      <c r="H2161" s="100"/>
    </row>
    <row r="2162" customHeight="1" spans="2:8">
      <c r="B2162" s="98"/>
      <c r="C2162" s="98"/>
      <c r="D2162" s="98"/>
      <c r="E2162" s="98"/>
      <c r="F2162" s="99"/>
      <c r="G2162" s="100"/>
      <c r="H2162" s="100"/>
    </row>
    <row r="2163" customHeight="1" spans="2:8">
      <c r="B2163" s="98"/>
      <c r="C2163" s="98"/>
      <c r="D2163" s="98"/>
      <c r="E2163" s="98"/>
      <c r="F2163" s="99"/>
      <c r="G2163" s="100"/>
      <c r="H2163" s="100"/>
    </row>
    <row r="2164" customHeight="1" spans="2:8">
      <c r="B2164" s="98"/>
      <c r="C2164" s="98"/>
      <c r="D2164" s="98"/>
      <c r="E2164" s="98"/>
      <c r="F2164" s="99"/>
      <c r="G2164" s="100"/>
      <c r="H2164" s="100"/>
    </row>
    <row r="2165" customHeight="1" spans="2:8">
      <c r="B2165" s="98"/>
      <c r="C2165" s="98"/>
      <c r="D2165" s="98"/>
      <c r="E2165" s="98"/>
      <c r="F2165" s="99"/>
      <c r="G2165" s="100"/>
      <c r="H2165" s="100"/>
    </row>
    <row r="2166" customHeight="1" spans="2:8">
      <c r="B2166" s="98"/>
      <c r="C2166" s="98"/>
      <c r="D2166" s="98"/>
      <c r="E2166" s="98"/>
      <c r="F2166" s="99"/>
      <c r="G2166" s="100"/>
      <c r="H2166" s="100"/>
    </row>
    <row r="2167" customHeight="1" spans="2:8">
      <c r="B2167" s="98"/>
      <c r="C2167" s="98"/>
      <c r="D2167" s="98"/>
      <c r="E2167" s="98"/>
      <c r="F2167" s="99"/>
      <c r="G2167" s="100"/>
      <c r="H2167" s="100"/>
    </row>
    <row r="2168" customHeight="1" spans="2:8">
      <c r="B2168" s="98"/>
      <c r="C2168" s="98"/>
      <c r="D2168" s="98"/>
      <c r="E2168" s="98"/>
      <c r="F2168" s="99"/>
      <c r="G2168" s="100"/>
      <c r="H2168" s="100"/>
    </row>
    <row r="2169" customHeight="1" spans="2:8">
      <c r="B2169" s="98"/>
      <c r="C2169" s="98"/>
      <c r="D2169" s="98"/>
      <c r="E2169" s="98"/>
      <c r="F2169" s="99"/>
      <c r="G2169" s="100"/>
      <c r="H2169" s="100"/>
    </row>
    <row r="2170" customHeight="1" spans="2:8">
      <c r="B2170" s="98"/>
      <c r="C2170" s="98"/>
      <c r="D2170" s="98"/>
      <c r="E2170" s="98"/>
      <c r="F2170" s="99"/>
      <c r="G2170" s="100"/>
      <c r="H2170" s="100"/>
    </row>
    <row r="2171" customHeight="1" spans="2:8">
      <c r="B2171" s="98"/>
      <c r="C2171" s="98"/>
      <c r="D2171" s="98"/>
      <c r="E2171" s="98"/>
      <c r="F2171" s="99"/>
      <c r="G2171" s="100"/>
      <c r="H2171" s="100"/>
    </row>
    <row r="2172" customHeight="1" spans="2:8">
      <c r="B2172" s="98"/>
      <c r="C2172" s="98"/>
      <c r="D2172" s="98"/>
      <c r="E2172" s="98"/>
      <c r="F2172" s="99"/>
      <c r="G2172" s="100"/>
      <c r="H2172" s="100"/>
    </row>
    <row r="2173" customHeight="1" spans="2:8">
      <c r="B2173" s="98"/>
      <c r="C2173" s="98"/>
      <c r="D2173" s="98"/>
      <c r="E2173" s="98"/>
      <c r="F2173" s="99"/>
      <c r="G2173" s="100"/>
      <c r="H2173" s="100"/>
    </row>
    <row r="2174" customHeight="1" spans="2:8">
      <c r="B2174" s="98"/>
      <c r="C2174" s="98"/>
      <c r="D2174" s="98"/>
      <c r="E2174" s="98"/>
      <c r="F2174" s="99"/>
      <c r="G2174" s="100"/>
      <c r="H2174" s="100"/>
    </row>
    <row r="2175" customHeight="1" spans="2:8">
      <c r="B2175" s="98"/>
      <c r="C2175" s="98"/>
      <c r="D2175" s="98"/>
      <c r="E2175" s="98"/>
      <c r="F2175" s="99"/>
      <c r="G2175" s="100"/>
      <c r="H2175" s="100"/>
    </row>
    <row r="2176" customHeight="1" spans="2:8">
      <c r="B2176" s="98"/>
      <c r="C2176" s="98"/>
      <c r="D2176" s="98"/>
      <c r="E2176" s="98"/>
      <c r="F2176" s="99"/>
      <c r="G2176" s="100"/>
      <c r="H2176" s="100"/>
    </row>
    <row r="2177" customHeight="1" spans="2:8">
      <c r="B2177" s="98"/>
      <c r="C2177" s="98"/>
      <c r="D2177" s="98"/>
      <c r="E2177" s="98"/>
      <c r="F2177" s="99"/>
      <c r="G2177" s="100"/>
      <c r="H2177" s="100"/>
    </row>
    <row r="2178" customHeight="1" spans="2:8">
      <c r="B2178" s="98"/>
      <c r="C2178" s="98"/>
      <c r="D2178" s="98"/>
      <c r="E2178" s="98"/>
      <c r="F2178" s="99"/>
      <c r="G2178" s="100"/>
      <c r="H2178" s="100"/>
    </row>
    <row r="2179" customHeight="1" spans="2:8">
      <c r="B2179" s="98"/>
      <c r="C2179" s="98"/>
      <c r="D2179" s="98"/>
      <c r="E2179" s="98"/>
      <c r="F2179" s="99"/>
      <c r="G2179" s="100"/>
      <c r="H2179" s="100"/>
    </row>
    <row r="2180" customHeight="1" spans="2:8">
      <c r="B2180" s="98"/>
      <c r="C2180" s="98"/>
      <c r="D2180" s="98"/>
      <c r="E2180" s="98"/>
      <c r="F2180" s="99"/>
      <c r="G2180" s="100"/>
      <c r="H2180" s="100"/>
    </row>
    <row r="2181" customHeight="1" spans="2:8">
      <c r="B2181" s="98"/>
      <c r="C2181" s="98"/>
      <c r="D2181" s="98"/>
      <c r="E2181" s="98"/>
      <c r="F2181" s="99"/>
      <c r="G2181" s="100"/>
      <c r="H2181" s="100"/>
    </row>
    <row r="2182" customHeight="1" spans="2:8">
      <c r="B2182" s="98"/>
      <c r="C2182" s="98"/>
      <c r="D2182" s="98"/>
      <c r="E2182" s="98"/>
      <c r="F2182" s="99"/>
      <c r="G2182" s="100"/>
      <c r="H2182" s="100"/>
    </row>
    <row r="2183" customHeight="1" spans="2:8">
      <c r="B2183" s="98"/>
      <c r="C2183" s="98"/>
      <c r="D2183" s="98"/>
      <c r="E2183" s="98"/>
      <c r="F2183" s="99"/>
      <c r="G2183" s="100"/>
      <c r="H2183" s="100"/>
    </row>
    <row r="2184" customHeight="1" spans="2:8">
      <c r="B2184" s="98"/>
      <c r="C2184" s="98"/>
      <c r="D2184" s="98"/>
      <c r="E2184" s="98"/>
      <c r="F2184" s="99"/>
      <c r="G2184" s="100"/>
      <c r="H2184" s="100"/>
    </row>
    <row r="2185" customHeight="1" spans="2:8">
      <c r="B2185" s="98"/>
      <c r="C2185" s="98"/>
      <c r="D2185" s="98"/>
      <c r="E2185" s="98"/>
      <c r="F2185" s="99"/>
      <c r="G2185" s="100"/>
      <c r="H2185" s="100"/>
    </row>
    <row r="2186" customHeight="1" spans="2:8">
      <c r="B2186" s="98"/>
      <c r="C2186" s="98"/>
      <c r="D2186" s="98"/>
      <c r="E2186" s="98"/>
      <c r="F2186" s="99"/>
      <c r="G2186" s="100"/>
      <c r="H2186" s="100"/>
    </row>
    <row r="2187" customHeight="1" spans="2:8">
      <c r="B2187" s="98"/>
      <c r="C2187" s="98"/>
      <c r="D2187" s="98"/>
      <c r="E2187" s="98"/>
      <c r="F2187" s="99"/>
      <c r="G2187" s="100"/>
      <c r="H2187" s="100"/>
    </row>
    <row r="2188" customHeight="1" spans="2:8">
      <c r="B2188" s="98"/>
      <c r="C2188" s="98"/>
      <c r="D2188" s="98"/>
      <c r="E2188" s="98"/>
      <c r="F2188" s="99"/>
      <c r="G2188" s="100"/>
      <c r="H2188" s="100"/>
    </row>
    <row r="2189" customHeight="1" spans="2:8">
      <c r="B2189" s="98"/>
      <c r="C2189" s="98"/>
      <c r="D2189" s="98"/>
      <c r="E2189" s="98"/>
      <c r="F2189" s="99"/>
      <c r="G2189" s="100"/>
      <c r="H2189" s="100"/>
    </row>
    <row r="2190" customHeight="1" spans="2:8">
      <c r="B2190" s="98"/>
      <c r="C2190" s="98"/>
      <c r="D2190" s="98"/>
      <c r="E2190" s="98"/>
      <c r="F2190" s="99"/>
      <c r="G2190" s="100"/>
      <c r="H2190" s="100"/>
    </row>
    <row r="2191" customHeight="1" spans="2:8">
      <c r="B2191" s="98"/>
      <c r="C2191" s="98"/>
      <c r="D2191" s="98"/>
      <c r="E2191" s="98"/>
      <c r="F2191" s="99"/>
      <c r="G2191" s="100"/>
      <c r="H2191" s="100"/>
    </row>
    <row r="2192" customHeight="1" spans="2:8">
      <c r="B2192" s="98"/>
      <c r="C2192" s="98"/>
      <c r="D2192" s="98"/>
      <c r="E2192" s="98"/>
      <c r="F2192" s="99"/>
      <c r="G2192" s="100"/>
      <c r="H2192" s="100"/>
    </row>
    <row r="2193" customHeight="1" spans="2:8">
      <c r="B2193" s="98"/>
      <c r="C2193" s="98"/>
      <c r="D2193" s="98"/>
      <c r="E2193" s="98"/>
      <c r="F2193" s="99"/>
      <c r="G2193" s="100"/>
      <c r="H2193" s="100"/>
    </row>
    <row r="2194" customHeight="1" spans="2:8">
      <c r="B2194" s="98"/>
      <c r="C2194" s="98"/>
      <c r="D2194" s="98"/>
      <c r="E2194" s="98"/>
      <c r="F2194" s="99"/>
      <c r="G2194" s="100"/>
      <c r="H2194" s="100"/>
    </row>
    <row r="2195" customHeight="1" spans="2:8">
      <c r="B2195" s="98"/>
      <c r="C2195" s="98"/>
      <c r="D2195" s="98"/>
      <c r="E2195" s="98"/>
      <c r="F2195" s="99"/>
      <c r="G2195" s="100"/>
      <c r="H2195" s="100"/>
    </row>
    <row r="2196" customHeight="1" spans="2:8">
      <c r="B2196" s="98"/>
      <c r="C2196" s="98"/>
      <c r="D2196" s="98"/>
      <c r="E2196" s="98"/>
      <c r="F2196" s="99"/>
      <c r="G2196" s="100"/>
      <c r="H2196" s="100"/>
    </row>
    <row r="2197" customHeight="1" spans="2:8">
      <c r="B2197" s="98"/>
      <c r="C2197" s="98"/>
      <c r="D2197" s="98"/>
      <c r="E2197" s="98"/>
      <c r="F2197" s="99"/>
      <c r="G2197" s="100"/>
      <c r="H2197" s="100"/>
    </row>
    <row r="2198" customHeight="1" spans="2:8">
      <c r="B2198" s="98"/>
      <c r="C2198" s="98"/>
      <c r="D2198" s="98"/>
      <c r="E2198" s="98"/>
      <c r="F2198" s="99"/>
      <c r="G2198" s="100"/>
      <c r="H2198" s="100"/>
    </row>
    <row r="2199" customHeight="1" spans="2:8">
      <c r="B2199" s="98"/>
      <c r="C2199" s="98"/>
      <c r="D2199" s="98"/>
      <c r="E2199" s="98"/>
      <c r="F2199" s="99"/>
      <c r="G2199" s="100"/>
      <c r="H2199" s="100"/>
    </row>
    <row r="2200" customHeight="1" spans="2:8">
      <c r="B2200" s="98"/>
      <c r="C2200" s="98"/>
      <c r="D2200" s="98"/>
      <c r="E2200" s="98"/>
      <c r="F2200" s="99"/>
      <c r="G2200" s="100"/>
      <c r="H2200" s="100"/>
    </row>
    <row r="2201" customHeight="1" spans="2:8">
      <c r="B2201" s="98"/>
      <c r="C2201" s="98"/>
      <c r="D2201" s="98"/>
      <c r="E2201" s="98"/>
      <c r="F2201" s="99"/>
      <c r="G2201" s="100"/>
      <c r="H2201" s="100"/>
    </row>
    <row r="2202" customHeight="1" spans="2:8">
      <c r="B2202" s="98"/>
      <c r="C2202" s="98"/>
      <c r="D2202" s="98"/>
      <c r="E2202" s="98"/>
      <c r="F2202" s="99"/>
      <c r="G2202" s="100"/>
      <c r="H2202" s="100"/>
    </row>
    <row r="2203" customHeight="1" spans="2:8">
      <c r="B2203" s="98"/>
      <c r="C2203" s="98"/>
      <c r="D2203" s="98"/>
      <c r="E2203" s="98"/>
      <c r="F2203" s="99"/>
      <c r="G2203" s="100"/>
      <c r="H2203" s="100"/>
    </row>
    <row r="2204" customHeight="1" spans="2:8">
      <c r="B2204" s="98"/>
      <c r="C2204" s="98"/>
      <c r="D2204" s="98"/>
      <c r="E2204" s="98"/>
      <c r="F2204" s="99"/>
      <c r="G2204" s="100"/>
      <c r="H2204" s="100"/>
    </row>
    <row r="2205" customHeight="1" spans="2:8">
      <c r="B2205" s="98"/>
      <c r="C2205" s="98"/>
      <c r="D2205" s="98"/>
      <c r="E2205" s="98"/>
      <c r="F2205" s="99"/>
      <c r="G2205" s="100"/>
      <c r="H2205" s="100"/>
    </row>
    <row r="2206" customHeight="1" spans="2:8">
      <c r="B2206" s="98"/>
      <c r="C2206" s="98"/>
      <c r="D2206" s="98"/>
      <c r="E2206" s="98"/>
      <c r="F2206" s="99"/>
      <c r="G2206" s="100"/>
      <c r="H2206" s="100"/>
    </row>
    <row r="2207" customHeight="1" spans="2:8">
      <c r="B2207" s="98"/>
      <c r="C2207" s="98"/>
      <c r="D2207" s="98"/>
      <c r="E2207" s="98"/>
      <c r="F2207" s="99"/>
      <c r="G2207" s="100"/>
      <c r="H2207" s="100"/>
    </row>
    <row r="2208" customHeight="1" spans="2:8">
      <c r="B2208" s="98"/>
      <c r="C2208" s="98"/>
      <c r="D2208" s="98"/>
      <c r="E2208" s="98"/>
      <c r="F2208" s="99"/>
      <c r="G2208" s="100"/>
      <c r="H2208" s="100"/>
    </row>
    <row r="2209" customHeight="1" spans="2:8">
      <c r="B2209" s="98"/>
      <c r="C2209" s="98"/>
      <c r="D2209" s="98"/>
      <c r="E2209" s="98"/>
      <c r="F2209" s="99"/>
      <c r="G2209" s="100"/>
      <c r="H2209" s="100"/>
    </row>
    <row r="2210" customHeight="1" spans="2:8">
      <c r="B2210" s="98"/>
      <c r="C2210" s="98"/>
      <c r="D2210" s="98"/>
      <c r="E2210" s="98"/>
      <c r="F2210" s="99"/>
      <c r="G2210" s="100"/>
      <c r="H2210" s="100"/>
    </row>
    <row r="2211" customHeight="1" spans="2:8">
      <c r="B2211" s="98"/>
      <c r="C2211" s="98"/>
      <c r="D2211" s="98"/>
      <c r="E2211" s="98"/>
      <c r="F2211" s="99"/>
      <c r="G2211" s="100"/>
      <c r="H2211" s="100"/>
    </row>
    <row r="2212" customHeight="1" spans="2:8">
      <c r="B2212" s="98"/>
      <c r="C2212" s="98"/>
      <c r="D2212" s="98"/>
      <c r="E2212" s="98"/>
      <c r="F2212" s="99"/>
      <c r="G2212" s="100"/>
      <c r="H2212" s="100"/>
    </row>
    <row r="2213" customHeight="1" spans="2:8">
      <c r="B2213" s="98"/>
      <c r="C2213" s="98"/>
      <c r="D2213" s="98"/>
      <c r="E2213" s="98"/>
      <c r="F2213" s="99"/>
      <c r="G2213" s="100"/>
      <c r="H2213" s="100"/>
    </row>
    <row r="2214" customHeight="1" spans="2:8">
      <c r="B2214" s="98"/>
      <c r="C2214" s="98"/>
      <c r="D2214" s="98"/>
      <c r="E2214" s="98"/>
      <c r="F2214" s="99"/>
      <c r="G2214" s="100"/>
      <c r="H2214" s="100"/>
    </row>
    <row r="2215" customHeight="1" spans="2:8">
      <c r="B2215" s="98"/>
      <c r="C2215" s="98"/>
      <c r="D2215" s="98"/>
      <c r="E2215" s="98"/>
      <c r="F2215" s="99"/>
      <c r="G2215" s="100"/>
      <c r="H2215" s="100"/>
    </row>
    <row r="2216" customHeight="1" spans="2:8">
      <c r="B2216" s="98"/>
      <c r="C2216" s="98"/>
      <c r="D2216" s="98"/>
      <c r="E2216" s="98"/>
      <c r="F2216" s="99"/>
      <c r="G2216" s="100"/>
      <c r="H2216" s="100"/>
    </row>
    <row r="2217" customHeight="1" spans="2:8">
      <c r="B2217" s="98"/>
      <c r="C2217" s="98"/>
      <c r="D2217" s="98"/>
      <c r="E2217" s="98"/>
      <c r="F2217" s="99"/>
      <c r="G2217" s="100"/>
      <c r="H2217" s="100"/>
    </row>
    <row r="2218" customHeight="1" spans="2:8">
      <c r="B2218" s="98"/>
      <c r="C2218" s="98"/>
      <c r="D2218" s="98"/>
      <c r="E2218" s="98"/>
      <c r="F2218" s="99"/>
      <c r="G2218" s="100"/>
      <c r="H2218" s="100"/>
    </row>
    <row r="2219" customHeight="1" spans="2:8">
      <c r="B2219" s="98"/>
      <c r="C2219" s="98"/>
      <c r="D2219" s="98"/>
      <c r="E2219" s="98"/>
      <c r="F2219" s="99"/>
      <c r="G2219" s="100"/>
      <c r="H2219" s="100"/>
    </row>
    <row r="2220" customHeight="1" spans="2:8">
      <c r="B2220" s="98"/>
      <c r="C2220" s="98"/>
      <c r="D2220" s="98"/>
      <c r="E2220" s="98"/>
      <c r="F2220" s="99"/>
      <c r="G2220" s="100"/>
      <c r="H2220" s="100"/>
    </row>
    <row r="2221" customHeight="1" spans="2:8">
      <c r="B2221" s="98"/>
      <c r="C2221" s="98"/>
      <c r="D2221" s="98"/>
      <c r="E2221" s="98"/>
      <c r="F2221" s="99"/>
      <c r="G2221" s="100"/>
      <c r="H2221" s="100"/>
    </row>
    <row r="2222" customHeight="1" spans="2:8">
      <c r="B2222" s="98"/>
      <c r="C2222" s="98"/>
      <c r="D2222" s="98"/>
      <c r="E2222" s="98"/>
      <c r="F2222" s="99"/>
      <c r="G2222" s="100"/>
      <c r="H2222" s="100"/>
    </row>
    <row r="2223" customHeight="1" spans="2:8">
      <c r="B2223" s="98"/>
      <c r="C2223" s="98"/>
      <c r="D2223" s="98"/>
      <c r="E2223" s="98"/>
      <c r="F2223" s="99"/>
      <c r="G2223" s="100"/>
      <c r="H2223" s="100"/>
    </row>
    <row r="2224" customHeight="1" spans="2:8">
      <c r="B2224" s="98"/>
      <c r="C2224" s="98"/>
      <c r="D2224" s="98"/>
      <c r="E2224" s="98"/>
      <c r="F2224" s="99"/>
      <c r="G2224" s="100"/>
      <c r="H2224" s="100"/>
    </row>
    <row r="2225" customHeight="1" spans="2:8">
      <c r="B2225" s="98"/>
      <c r="C2225" s="98"/>
      <c r="D2225" s="98"/>
      <c r="E2225" s="98"/>
      <c r="F2225" s="99"/>
      <c r="G2225" s="100"/>
      <c r="H2225" s="100"/>
    </row>
    <row r="2226" customHeight="1" spans="2:8">
      <c r="B2226" s="98"/>
      <c r="C2226" s="98"/>
      <c r="D2226" s="98"/>
      <c r="E2226" s="98"/>
      <c r="F2226" s="99"/>
      <c r="G2226" s="100"/>
      <c r="H2226" s="100"/>
    </row>
    <row r="2227" customHeight="1" spans="2:8">
      <c r="B2227" s="98"/>
      <c r="C2227" s="98"/>
      <c r="D2227" s="98"/>
      <c r="E2227" s="98"/>
      <c r="F2227" s="99"/>
      <c r="G2227" s="100"/>
      <c r="H2227" s="100"/>
    </row>
    <row r="2228" customHeight="1" spans="2:8">
      <c r="B2228" s="98"/>
      <c r="C2228" s="98"/>
      <c r="D2228" s="98"/>
      <c r="E2228" s="98"/>
      <c r="F2228" s="99"/>
      <c r="G2228" s="100"/>
      <c r="H2228" s="100"/>
    </row>
    <row r="2229" customHeight="1" spans="2:8">
      <c r="B2229" s="98"/>
      <c r="C2229" s="98"/>
      <c r="D2229" s="98"/>
      <c r="E2229" s="98"/>
      <c r="F2229" s="99"/>
      <c r="G2229" s="100"/>
      <c r="H2229" s="100"/>
    </row>
    <row r="2230" customHeight="1" spans="2:8">
      <c r="B2230" s="98"/>
      <c r="C2230" s="98"/>
      <c r="D2230" s="98"/>
      <c r="E2230" s="98"/>
      <c r="F2230" s="99"/>
      <c r="G2230" s="100"/>
      <c r="H2230" s="100"/>
    </row>
    <row r="2231" customHeight="1" spans="2:8">
      <c r="B2231" s="98"/>
      <c r="C2231" s="98"/>
      <c r="D2231" s="98"/>
      <c r="E2231" s="98"/>
      <c r="F2231" s="99"/>
      <c r="G2231" s="100"/>
      <c r="H2231" s="100"/>
    </row>
    <row r="2232" customHeight="1" spans="2:8">
      <c r="B2232" s="98"/>
      <c r="C2232" s="98"/>
      <c r="D2232" s="98"/>
      <c r="E2232" s="98"/>
      <c r="F2232" s="99"/>
      <c r="G2232" s="100"/>
      <c r="H2232" s="100"/>
    </row>
    <row r="2233" customHeight="1" spans="2:8">
      <c r="B2233" s="98"/>
      <c r="C2233" s="98"/>
      <c r="D2233" s="98"/>
      <c r="E2233" s="98"/>
      <c r="F2233" s="99"/>
      <c r="G2233" s="100"/>
      <c r="H2233" s="100"/>
    </row>
    <row r="2234" customHeight="1" spans="2:8">
      <c r="B2234" s="98"/>
      <c r="C2234" s="98"/>
      <c r="D2234" s="98"/>
      <c r="E2234" s="98"/>
      <c r="F2234" s="99"/>
      <c r="G2234" s="100"/>
      <c r="H2234" s="100"/>
    </row>
    <row r="2235" customHeight="1" spans="2:8">
      <c r="B2235" s="98"/>
      <c r="C2235" s="98"/>
      <c r="D2235" s="98"/>
      <c r="E2235" s="98"/>
      <c r="F2235" s="99"/>
      <c r="G2235" s="100"/>
      <c r="H2235" s="100"/>
    </row>
    <row r="2236" customHeight="1" spans="2:8">
      <c r="B2236" s="98"/>
      <c r="C2236" s="98"/>
      <c r="D2236" s="98"/>
      <c r="E2236" s="98"/>
      <c r="F2236" s="99"/>
      <c r="G2236" s="100"/>
      <c r="H2236" s="100"/>
    </row>
    <row r="2237" customHeight="1" spans="2:8">
      <c r="B2237" s="98"/>
      <c r="C2237" s="98"/>
      <c r="D2237" s="98"/>
      <c r="E2237" s="98"/>
      <c r="F2237" s="99"/>
      <c r="G2237" s="100"/>
      <c r="H2237" s="100"/>
    </row>
    <row r="2238" customHeight="1" spans="2:8">
      <c r="B2238" s="98"/>
      <c r="C2238" s="98"/>
      <c r="D2238" s="98"/>
      <c r="E2238" s="98"/>
      <c r="F2238" s="99"/>
      <c r="G2238" s="100"/>
      <c r="H2238" s="100"/>
    </row>
    <row r="2239" customHeight="1" spans="2:8">
      <c r="B2239" s="98"/>
      <c r="C2239" s="98"/>
      <c r="D2239" s="98"/>
      <c r="E2239" s="98"/>
      <c r="F2239" s="99"/>
      <c r="G2239" s="100"/>
      <c r="H2239" s="100"/>
    </row>
    <row r="2240" customHeight="1" spans="2:8">
      <c r="B2240" s="98"/>
      <c r="C2240" s="98"/>
      <c r="D2240" s="98"/>
      <c r="E2240" s="98"/>
      <c r="F2240" s="99"/>
      <c r="G2240" s="100"/>
      <c r="H2240" s="100"/>
    </row>
    <row r="2241" customHeight="1" spans="2:8">
      <c r="B2241" s="98"/>
      <c r="C2241" s="98"/>
      <c r="D2241" s="98"/>
      <c r="E2241" s="98"/>
      <c r="F2241" s="99"/>
      <c r="G2241" s="100"/>
      <c r="H2241" s="100"/>
    </row>
    <row r="2242" customHeight="1" spans="2:8">
      <c r="B2242" s="98"/>
      <c r="C2242" s="98"/>
      <c r="D2242" s="98"/>
      <c r="E2242" s="98"/>
      <c r="F2242" s="99"/>
      <c r="G2242" s="100"/>
      <c r="H2242" s="100"/>
    </row>
    <row r="2243" customHeight="1" spans="2:8">
      <c r="B2243" s="98"/>
      <c r="C2243" s="98"/>
      <c r="D2243" s="98"/>
      <c r="E2243" s="98"/>
      <c r="F2243" s="99"/>
      <c r="G2243" s="100"/>
      <c r="H2243" s="100"/>
    </row>
    <row r="2244" customHeight="1" spans="2:8">
      <c r="B2244" s="98"/>
      <c r="C2244" s="98"/>
      <c r="D2244" s="98"/>
      <c r="E2244" s="98"/>
      <c r="F2244" s="99"/>
      <c r="G2244" s="100"/>
      <c r="H2244" s="100"/>
    </row>
    <row r="2245" customHeight="1" spans="2:8">
      <c r="B2245" s="98"/>
      <c r="C2245" s="98"/>
      <c r="D2245" s="98"/>
      <c r="E2245" s="98"/>
      <c r="F2245" s="99"/>
      <c r="G2245" s="100"/>
      <c r="H2245" s="100"/>
    </row>
    <row r="2246" customHeight="1" spans="2:8">
      <c r="B2246" s="98"/>
      <c r="C2246" s="98"/>
      <c r="D2246" s="98"/>
      <c r="E2246" s="98"/>
      <c r="F2246" s="99"/>
      <c r="G2246" s="100"/>
      <c r="H2246" s="100"/>
    </row>
    <row r="2247" customHeight="1" spans="2:8">
      <c r="B2247" s="98"/>
      <c r="C2247" s="98"/>
      <c r="D2247" s="98"/>
      <c r="E2247" s="98"/>
      <c r="F2247" s="99"/>
      <c r="G2247" s="100"/>
      <c r="H2247" s="100"/>
    </row>
    <row r="2248" customHeight="1" spans="2:8">
      <c r="B2248" s="98"/>
      <c r="C2248" s="98"/>
      <c r="D2248" s="98"/>
      <c r="E2248" s="98"/>
      <c r="F2248" s="99"/>
      <c r="G2248" s="100"/>
      <c r="H2248" s="100"/>
    </row>
    <row r="2249" customHeight="1" spans="2:8">
      <c r="B2249" s="98"/>
      <c r="C2249" s="98"/>
      <c r="D2249" s="98"/>
      <c r="E2249" s="98"/>
      <c r="F2249" s="99"/>
      <c r="G2249" s="100"/>
      <c r="H2249" s="100"/>
    </row>
    <row r="2250" customHeight="1" spans="2:8">
      <c r="B2250" s="98"/>
      <c r="C2250" s="98"/>
      <c r="D2250" s="98"/>
      <c r="E2250" s="98"/>
      <c r="F2250" s="99"/>
      <c r="G2250" s="100"/>
      <c r="H2250" s="100"/>
    </row>
    <row r="2251" customHeight="1" spans="2:8">
      <c r="B2251" s="98"/>
      <c r="C2251" s="98"/>
      <c r="D2251" s="98"/>
      <c r="E2251" s="98"/>
      <c r="F2251" s="99"/>
      <c r="G2251" s="100"/>
      <c r="H2251" s="100"/>
    </row>
    <row r="2252" customHeight="1" spans="2:8">
      <c r="B2252" s="98"/>
      <c r="C2252" s="98"/>
      <c r="D2252" s="98"/>
      <c r="E2252" s="98"/>
      <c r="F2252" s="99"/>
      <c r="G2252" s="100"/>
      <c r="H2252" s="100"/>
    </row>
    <row r="2253" customHeight="1" spans="2:8">
      <c r="B2253" s="98"/>
      <c r="C2253" s="98"/>
      <c r="D2253" s="98"/>
      <c r="E2253" s="98"/>
      <c r="F2253" s="99"/>
      <c r="G2253" s="100"/>
      <c r="H2253" s="100"/>
    </row>
    <row r="2254" customHeight="1" spans="2:8">
      <c r="B2254" s="98"/>
      <c r="C2254" s="98"/>
      <c r="D2254" s="98"/>
      <c r="E2254" s="98"/>
      <c r="F2254" s="99"/>
      <c r="G2254" s="100"/>
      <c r="H2254" s="100"/>
    </row>
    <row r="2255" customHeight="1" spans="2:8">
      <c r="B2255" s="98"/>
      <c r="C2255" s="98"/>
      <c r="D2255" s="98"/>
      <c r="E2255" s="98"/>
      <c r="F2255" s="99"/>
      <c r="G2255" s="100"/>
      <c r="H2255" s="100"/>
    </row>
    <row r="2256" customHeight="1" spans="2:8">
      <c r="B2256" s="98"/>
      <c r="C2256" s="98"/>
      <c r="D2256" s="98"/>
      <c r="E2256" s="98"/>
      <c r="F2256" s="99"/>
      <c r="G2256" s="100"/>
      <c r="H2256" s="100"/>
    </row>
    <row r="2257" customHeight="1" spans="2:8">
      <c r="B2257" s="98"/>
      <c r="C2257" s="98"/>
      <c r="D2257" s="98"/>
      <c r="E2257" s="98"/>
      <c r="F2257" s="99"/>
      <c r="G2257" s="100"/>
      <c r="H2257" s="100"/>
    </row>
    <row r="2258" customHeight="1" spans="2:8">
      <c r="B2258" s="98"/>
      <c r="C2258" s="98"/>
      <c r="D2258" s="98"/>
      <c r="E2258" s="98"/>
      <c r="F2258" s="99"/>
      <c r="G2258" s="100"/>
      <c r="H2258" s="100"/>
    </row>
    <row r="2259" customHeight="1" spans="2:8">
      <c r="B2259" s="98"/>
      <c r="C2259" s="98"/>
      <c r="D2259" s="98"/>
      <c r="E2259" s="98"/>
      <c r="F2259" s="99"/>
      <c r="G2259" s="100"/>
      <c r="H2259" s="100"/>
    </row>
    <row r="2260" customHeight="1" spans="2:8">
      <c r="B2260" s="98"/>
      <c r="C2260" s="98"/>
      <c r="D2260" s="98"/>
      <c r="E2260" s="98"/>
      <c r="F2260" s="99"/>
      <c r="G2260" s="100"/>
      <c r="H2260" s="100"/>
    </row>
    <row r="2261" customHeight="1" spans="2:8">
      <c r="B2261" s="98"/>
      <c r="C2261" s="98"/>
      <c r="D2261" s="98"/>
      <c r="E2261" s="98"/>
      <c r="F2261" s="99"/>
      <c r="G2261" s="100"/>
      <c r="H2261" s="100"/>
    </row>
    <row r="2262" customHeight="1" spans="2:8">
      <c r="B2262" s="98"/>
      <c r="C2262" s="98"/>
      <c r="D2262" s="98"/>
      <c r="E2262" s="98"/>
      <c r="F2262" s="99"/>
      <c r="G2262" s="100"/>
      <c r="H2262" s="100"/>
    </row>
    <row r="2263" customHeight="1" spans="2:8">
      <c r="B2263" s="98"/>
      <c r="C2263" s="98"/>
      <c r="D2263" s="98"/>
      <c r="E2263" s="98"/>
      <c r="F2263" s="99"/>
      <c r="G2263" s="100"/>
      <c r="H2263" s="100"/>
    </row>
    <row r="2264" customHeight="1" spans="2:8">
      <c r="B2264" s="98"/>
      <c r="C2264" s="98"/>
      <c r="D2264" s="98"/>
      <c r="E2264" s="98"/>
      <c r="F2264" s="99"/>
      <c r="G2264" s="100"/>
      <c r="H2264" s="100"/>
    </row>
    <row r="2265" customHeight="1" spans="2:8">
      <c r="B2265" s="98"/>
      <c r="C2265" s="98"/>
      <c r="D2265" s="98"/>
      <c r="E2265" s="98"/>
      <c r="F2265" s="99"/>
      <c r="G2265" s="100"/>
      <c r="H2265" s="100"/>
    </row>
    <row r="2266" customHeight="1" spans="2:8">
      <c r="B2266" s="98"/>
      <c r="C2266" s="98"/>
      <c r="D2266" s="98"/>
      <c r="E2266" s="98"/>
      <c r="F2266" s="99"/>
      <c r="G2266" s="100"/>
      <c r="H2266" s="100"/>
    </row>
    <row r="2267" customHeight="1" spans="2:8">
      <c r="B2267" s="98"/>
      <c r="C2267" s="98"/>
      <c r="D2267" s="98"/>
      <c r="E2267" s="98"/>
      <c r="F2267" s="99"/>
      <c r="G2267" s="100"/>
      <c r="H2267" s="100"/>
    </row>
    <row r="2268" customHeight="1" spans="2:8">
      <c r="B2268" s="98"/>
      <c r="C2268" s="98"/>
      <c r="D2268" s="98"/>
      <c r="E2268" s="98"/>
      <c r="F2268" s="99"/>
      <c r="G2268" s="100"/>
      <c r="H2268" s="100"/>
    </row>
    <row r="2269" customHeight="1" spans="2:8">
      <c r="B2269" s="98"/>
      <c r="C2269" s="98"/>
      <c r="D2269" s="98"/>
      <c r="E2269" s="98"/>
      <c r="F2269" s="99"/>
      <c r="G2269" s="100"/>
      <c r="H2269" s="100"/>
    </row>
    <row r="2270" customHeight="1" spans="2:8">
      <c r="B2270" s="98"/>
      <c r="C2270" s="98"/>
      <c r="D2270" s="98"/>
      <c r="E2270" s="98"/>
      <c r="F2270" s="99"/>
      <c r="G2270" s="100"/>
      <c r="H2270" s="100"/>
    </row>
    <row r="2271" customHeight="1" spans="2:8">
      <c r="B2271" s="98"/>
      <c r="C2271" s="98"/>
      <c r="D2271" s="98"/>
      <c r="E2271" s="98"/>
      <c r="F2271" s="99"/>
      <c r="G2271" s="100"/>
      <c r="H2271" s="100"/>
    </row>
    <row r="2272" customHeight="1" spans="2:8">
      <c r="B2272" s="98"/>
      <c r="C2272" s="98"/>
      <c r="D2272" s="98"/>
      <c r="E2272" s="98"/>
      <c r="F2272" s="99"/>
      <c r="G2272" s="100"/>
      <c r="H2272" s="100"/>
    </row>
    <row r="2273" customHeight="1" spans="2:8">
      <c r="B2273" s="98"/>
      <c r="C2273" s="98"/>
      <c r="D2273" s="98"/>
      <c r="E2273" s="98"/>
      <c r="F2273" s="99"/>
      <c r="G2273" s="100"/>
      <c r="H2273" s="100"/>
    </row>
    <row r="2274" customHeight="1" spans="2:8">
      <c r="B2274" s="98"/>
      <c r="C2274" s="98"/>
      <c r="D2274" s="98"/>
      <c r="E2274" s="98"/>
      <c r="F2274" s="99"/>
      <c r="G2274" s="100"/>
      <c r="H2274" s="100"/>
    </row>
    <row r="2275" customHeight="1" spans="2:8">
      <c r="B2275" s="98"/>
      <c r="C2275" s="98"/>
      <c r="D2275" s="98"/>
      <c r="E2275" s="98"/>
      <c r="F2275" s="99"/>
      <c r="G2275" s="100"/>
      <c r="H2275" s="100"/>
    </row>
    <row r="2276" customHeight="1" spans="2:8">
      <c r="B2276" s="98"/>
      <c r="C2276" s="98"/>
      <c r="D2276" s="98"/>
      <c r="E2276" s="98"/>
      <c r="F2276" s="99"/>
      <c r="G2276" s="100"/>
      <c r="H2276" s="100"/>
    </row>
    <row r="2277" customHeight="1" spans="2:8">
      <c r="B2277" s="98"/>
      <c r="C2277" s="98"/>
      <c r="D2277" s="98"/>
      <c r="E2277" s="98"/>
      <c r="F2277" s="99"/>
      <c r="G2277" s="100"/>
      <c r="H2277" s="100"/>
    </row>
    <row r="2278" customHeight="1" spans="2:8">
      <c r="B2278" s="98"/>
      <c r="C2278" s="98"/>
      <c r="D2278" s="98"/>
      <c r="E2278" s="98"/>
      <c r="F2278" s="99"/>
      <c r="G2278" s="100"/>
      <c r="H2278" s="100"/>
    </row>
    <row r="2279" customHeight="1" spans="2:8">
      <c r="B2279" s="98"/>
      <c r="C2279" s="98"/>
      <c r="D2279" s="98"/>
      <c r="E2279" s="98"/>
      <c r="F2279" s="99"/>
      <c r="G2279" s="100"/>
      <c r="H2279" s="100"/>
    </row>
    <row r="2280" customHeight="1" spans="2:8">
      <c r="B2280" s="98"/>
      <c r="C2280" s="98"/>
      <c r="D2280" s="98"/>
      <c r="E2280" s="98"/>
      <c r="F2280" s="99"/>
      <c r="G2280" s="100"/>
      <c r="H2280" s="100"/>
    </row>
    <row r="2281" customHeight="1" spans="2:8">
      <c r="B2281" s="98"/>
      <c r="C2281" s="98"/>
      <c r="D2281" s="98"/>
      <c r="E2281" s="98"/>
      <c r="F2281" s="99"/>
      <c r="G2281" s="100"/>
      <c r="H2281" s="100"/>
    </row>
    <row r="2282" customHeight="1" spans="2:8">
      <c r="B2282" s="98"/>
      <c r="C2282" s="98"/>
      <c r="D2282" s="98"/>
      <c r="E2282" s="98"/>
      <c r="F2282" s="99"/>
      <c r="G2282" s="100"/>
      <c r="H2282" s="100"/>
    </row>
    <row r="2283" customHeight="1" spans="2:8">
      <c r="B2283" s="98"/>
      <c r="C2283" s="98"/>
      <c r="D2283" s="98"/>
      <c r="E2283" s="98"/>
      <c r="F2283" s="99"/>
      <c r="G2283" s="100"/>
      <c r="H2283" s="100"/>
    </row>
    <row r="2284" customHeight="1" spans="2:8">
      <c r="B2284" s="98"/>
      <c r="C2284" s="98"/>
      <c r="D2284" s="98"/>
      <c r="E2284" s="98"/>
      <c r="F2284" s="99"/>
      <c r="G2284" s="100"/>
      <c r="H2284" s="100"/>
    </row>
    <row r="2285" customHeight="1" spans="2:8">
      <c r="B2285" s="98"/>
      <c r="C2285" s="98"/>
      <c r="D2285" s="98"/>
      <c r="E2285" s="98"/>
      <c r="F2285" s="99"/>
      <c r="G2285" s="100"/>
      <c r="H2285" s="100"/>
    </row>
    <row r="2286" customHeight="1" spans="2:8">
      <c r="B2286" s="98"/>
      <c r="C2286" s="98"/>
      <c r="D2286" s="98"/>
      <c r="E2286" s="98"/>
      <c r="F2286" s="99"/>
      <c r="G2286" s="100"/>
      <c r="H2286" s="100"/>
    </row>
    <row r="2287" customHeight="1" spans="2:8">
      <c r="B2287" s="98"/>
      <c r="C2287" s="98"/>
      <c r="D2287" s="98"/>
      <c r="E2287" s="98"/>
      <c r="F2287" s="99"/>
      <c r="G2287" s="100"/>
      <c r="H2287" s="100"/>
    </row>
    <row r="2288" customHeight="1" spans="2:8">
      <c r="B2288" s="98"/>
      <c r="C2288" s="98"/>
      <c r="D2288" s="98"/>
      <c r="E2288" s="98"/>
      <c r="F2288" s="99"/>
      <c r="G2288" s="100"/>
      <c r="H2288" s="100"/>
    </row>
    <row r="2289" customHeight="1" spans="2:8">
      <c r="B2289" s="98"/>
      <c r="C2289" s="98"/>
      <c r="D2289" s="98"/>
      <c r="E2289" s="98"/>
      <c r="F2289" s="99"/>
      <c r="G2289" s="100"/>
      <c r="H2289" s="100"/>
    </row>
    <row r="2290" customHeight="1" spans="2:8">
      <c r="B2290" s="98"/>
      <c r="C2290" s="98"/>
      <c r="D2290" s="98"/>
      <c r="E2290" s="98"/>
      <c r="F2290" s="99"/>
      <c r="G2290" s="100"/>
      <c r="H2290" s="100"/>
    </row>
    <row r="2291" customHeight="1" spans="2:8">
      <c r="B2291" s="98"/>
      <c r="C2291" s="98"/>
      <c r="D2291" s="98"/>
      <c r="E2291" s="98"/>
      <c r="F2291" s="99"/>
      <c r="G2291" s="100"/>
      <c r="H2291" s="100"/>
    </row>
    <row r="2292" customHeight="1" spans="2:8">
      <c r="B2292" s="98"/>
      <c r="C2292" s="98"/>
      <c r="D2292" s="98"/>
      <c r="E2292" s="98"/>
      <c r="F2292" s="99"/>
      <c r="G2292" s="100"/>
      <c r="H2292" s="100"/>
    </row>
    <row r="2293" customHeight="1" spans="2:8">
      <c r="B2293" s="98"/>
      <c r="C2293" s="98"/>
      <c r="D2293" s="98"/>
      <c r="E2293" s="98"/>
      <c r="F2293" s="99"/>
      <c r="G2293" s="100"/>
      <c r="H2293" s="100"/>
    </row>
    <row r="2294" customHeight="1" spans="2:8">
      <c r="B2294" s="98"/>
      <c r="C2294" s="98"/>
      <c r="D2294" s="98"/>
      <c r="E2294" s="98"/>
      <c r="F2294" s="99"/>
      <c r="G2294" s="100"/>
      <c r="H2294" s="100"/>
    </row>
    <row r="2295" customHeight="1" spans="2:8">
      <c r="B2295" s="98"/>
      <c r="C2295" s="98"/>
      <c r="D2295" s="98"/>
      <c r="E2295" s="98"/>
      <c r="F2295" s="99"/>
      <c r="G2295" s="100"/>
      <c r="H2295" s="100"/>
    </row>
    <row r="2296" customHeight="1" spans="2:8">
      <c r="B2296" s="98"/>
      <c r="C2296" s="98"/>
      <c r="D2296" s="98"/>
      <c r="E2296" s="98"/>
      <c r="F2296" s="99"/>
      <c r="G2296" s="100"/>
      <c r="H2296" s="100"/>
    </row>
    <row r="2297" customHeight="1" spans="2:8">
      <c r="B2297" s="98"/>
      <c r="C2297" s="98"/>
      <c r="D2297" s="98"/>
      <c r="E2297" s="98"/>
      <c r="F2297" s="99"/>
      <c r="G2297" s="100"/>
      <c r="H2297" s="100"/>
    </row>
    <row r="2298" customHeight="1" spans="2:8">
      <c r="B2298" s="98"/>
      <c r="C2298" s="98"/>
      <c r="D2298" s="98"/>
      <c r="E2298" s="98"/>
      <c r="F2298" s="99"/>
      <c r="G2298" s="100"/>
      <c r="H2298" s="100"/>
    </row>
    <row r="2299" customHeight="1" spans="2:8">
      <c r="B2299" s="98"/>
      <c r="C2299" s="98"/>
      <c r="D2299" s="98"/>
      <c r="E2299" s="98"/>
      <c r="F2299" s="99"/>
      <c r="G2299" s="100"/>
      <c r="H2299" s="100"/>
    </row>
    <row r="2300" customHeight="1" spans="2:8">
      <c r="B2300" s="98"/>
      <c r="C2300" s="98"/>
      <c r="D2300" s="98"/>
      <c r="E2300" s="98"/>
      <c r="F2300" s="99"/>
      <c r="G2300" s="100"/>
      <c r="H2300" s="100"/>
    </row>
    <row r="2301" customHeight="1" spans="2:8">
      <c r="B2301" s="98"/>
      <c r="C2301" s="98"/>
      <c r="D2301" s="98"/>
      <c r="E2301" s="98"/>
      <c r="F2301" s="99"/>
      <c r="G2301" s="100"/>
      <c r="H2301" s="100"/>
    </row>
    <row r="2302" customHeight="1" spans="2:8">
      <c r="B2302" s="98"/>
      <c r="C2302" s="98"/>
      <c r="D2302" s="98"/>
      <c r="E2302" s="98"/>
      <c r="F2302" s="99"/>
      <c r="G2302" s="100"/>
      <c r="H2302" s="100"/>
    </row>
    <row r="2303" customHeight="1" spans="2:8">
      <c r="B2303" s="98"/>
      <c r="C2303" s="98"/>
      <c r="D2303" s="98"/>
      <c r="E2303" s="98"/>
      <c r="F2303" s="99"/>
      <c r="G2303" s="100"/>
      <c r="H2303" s="100"/>
    </row>
    <row r="2304" customHeight="1" spans="2:8">
      <c r="B2304" s="98"/>
      <c r="C2304" s="98"/>
      <c r="D2304" s="98"/>
      <c r="E2304" s="98"/>
      <c r="F2304" s="99"/>
      <c r="G2304" s="100"/>
      <c r="H2304" s="100"/>
    </row>
    <row r="2305" customHeight="1" spans="2:8">
      <c r="B2305" s="98"/>
      <c r="C2305" s="98"/>
      <c r="D2305" s="98"/>
      <c r="E2305" s="98"/>
      <c r="F2305" s="99"/>
      <c r="G2305" s="100"/>
      <c r="H2305" s="100"/>
    </row>
    <row r="2306" customHeight="1" spans="2:8">
      <c r="B2306" s="98"/>
      <c r="C2306" s="98"/>
      <c r="D2306" s="98"/>
      <c r="E2306" s="98"/>
      <c r="F2306" s="99"/>
      <c r="G2306" s="100"/>
      <c r="H2306" s="100"/>
    </row>
    <row r="2307" customHeight="1" spans="2:8">
      <c r="B2307" s="98"/>
      <c r="C2307" s="98"/>
      <c r="D2307" s="98"/>
      <c r="E2307" s="98"/>
      <c r="F2307" s="99"/>
      <c r="G2307" s="100"/>
      <c r="H2307" s="100"/>
    </row>
    <row r="2308" customHeight="1" spans="2:8">
      <c r="B2308" s="98"/>
      <c r="C2308" s="98"/>
      <c r="D2308" s="98"/>
      <c r="E2308" s="98"/>
      <c r="F2308" s="99"/>
      <c r="G2308" s="100"/>
      <c r="H2308" s="100"/>
    </row>
    <row r="2309" customHeight="1" spans="2:8">
      <c r="B2309" s="98"/>
      <c r="C2309" s="98"/>
      <c r="D2309" s="98"/>
      <c r="E2309" s="98"/>
      <c r="F2309" s="99"/>
      <c r="G2309" s="100"/>
      <c r="H2309" s="100"/>
    </row>
    <row r="2310" customHeight="1" spans="2:8">
      <c r="B2310" s="98"/>
      <c r="C2310" s="98"/>
      <c r="D2310" s="98"/>
      <c r="E2310" s="98"/>
      <c r="F2310" s="99"/>
      <c r="G2310" s="100"/>
      <c r="H2310" s="100"/>
    </row>
    <row r="2311" customHeight="1" spans="2:8">
      <c r="B2311" s="98"/>
      <c r="C2311" s="98"/>
      <c r="D2311" s="98"/>
      <c r="E2311" s="98"/>
      <c r="F2311" s="99"/>
      <c r="G2311" s="100"/>
      <c r="H2311" s="100"/>
    </row>
    <row r="2312" customHeight="1" spans="2:8">
      <c r="B2312" s="98"/>
      <c r="C2312" s="98"/>
      <c r="D2312" s="98"/>
      <c r="E2312" s="98"/>
      <c r="F2312" s="99"/>
      <c r="G2312" s="100"/>
      <c r="H2312" s="100"/>
    </row>
    <row r="2313" customHeight="1" spans="2:8">
      <c r="B2313" s="98"/>
      <c r="C2313" s="98"/>
      <c r="D2313" s="98"/>
      <c r="E2313" s="98"/>
      <c r="F2313" s="99"/>
      <c r="G2313" s="100"/>
      <c r="H2313" s="100"/>
    </row>
    <row r="2314" customHeight="1" spans="2:8">
      <c r="B2314" s="98"/>
      <c r="C2314" s="98"/>
      <c r="D2314" s="98"/>
      <c r="E2314" s="98"/>
      <c r="F2314" s="99"/>
      <c r="G2314" s="100"/>
      <c r="H2314" s="100"/>
    </row>
    <row r="2315" customHeight="1" spans="2:8">
      <c r="B2315" s="98"/>
      <c r="C2315" s="98"/>
      <c r="D2315" s="98"/>
      <c r="E2315" s="98"/>
      <c r="F2315" s="99"/>
      <c r="G2315" s="100"/>
      <c r="H2315" s="100"/>
    </row>
    <row r="2316" customHeight="1" spans="2:8">
      <c r="B2316" s="98"/>
      <c r="C2316" s="98"/>
      <c r="D2316" s="98"/>
      <c r="E2316" s="98"/>
      <c r="F2316" s="99"/>
      <c r="G2316" s="100"/>
      <c r="H2316" s="100"/>
    </row>
    <row r="2317" customHeight="1" spans="2:8">
      <c r="B2317" s="98"/>
      <c r="C2317" s="98"/>
      <c r="D2317" s="98"/>
      <c r="E2317" s="98"/>
      <c r="F2317" s="99"/>
      <c r="G2317" s="100"/>
      <c r="H2317" s="100"/>
    </row>
    <row r="2318" customHeight="1" spans="2:8">
      <c r="B2318" s="98"/>
      <c r="C2318" s="98"/>
      <c r="D2318" s="98"/>
      <c r="E2318" s="98"/>
      <c r="F2318" s="99"/>
      <c r="G2318" s="100"/>
      <c r="H2318" s="100"/>
    </row>
    <row r="2319" customHeight="1" spans="2:8">
      <c r="B2319" s="98"/>
      <c r="C2319" s="98"/>
      <c r="D2319" s="98"/>
      <c r="E2319" s="98"/>
      <c r="F2319" s="99"/>
      <c r="G2319" s="100"/>
      <c r="H2319" s="100"/>
    </row>
    <row r="2320" customHeight="1" spans="2:8">
      <c r="B2320" s="98"/>
      <c r="C2320" s="98"/>
      <c r="D2320" s="98"/>
      <c r="E2320" s="98"/>
      <c r="F2320" s="99"/>
      <c r="G2320" s="100"/>
      <c r="H2320" s="100"/>
    </row>
    <row r="2321" customHeight="1" spans="2:8">
      <c r="B2321" s="98"/>
      <c r="C2321" s="98"/>
      <c r="D2321" s="98"/>
      <c r="E2321" s="98"/>
      <c r="F2321" s="99"/>
      <c r="G2321" s="100"/>
      <c r="H2321" s="100"/>
    </row>
    <row r="2322" customHeight="1" spans="2:8">
      <c r="B2322" s="98"/>
      <c r="C2322" s="98"/>
      <c r="D2322" s="98"/>
      <c r="E2322" s="98"/>
      <c r="F2322" s="99"/>
      <c r="G2322" s="100"/>
      <c r="H2322" s="100"/>
    </row>
    <row r="2323" customHeight="1" spans="2:8">
      <c r="B2323" s="98"/>
      <c r="C2323" s="98"/>
      <c r="D2323" s="98"/>
      <c r="E2323" s="98"/>
      <c r="F2323" s="99"/>
      <c r="G2323" s="100"/>
      <c r="H2323" s="100"/>
    </row>
    <row r="2324" customHeight="1" spans="2:8">
      <c r="B2324" s="98"/>
      <c r="C2324" s="98"/>
      <c r="D2324" s="98"/>
      <c r="E2324" s="98"/>
      <c r="F2324" s="99"/>
      <c r="G2324" s="100"/>
      <c r="H2324" s="100"/>
    </row>
    <row r="2325" customHeight="1" spans="2:8">
      <c r="B2325" s="98"/>
      <c r="C2325" s="98"/>
      <c r="D2325" s="98"/>
      <c r="E2325" s="98"/>
      <c r="F2325" s="99"/>
      <c r="G2325" s="100"/>
      <c r="H2325" s="100"/>
    </row>
    <row r="2326" customHeight="1" spans="2:8">
      <c r="B2326" s="98"/>
      <c r="C2326" s="98"/>
      <c r="D2326" s="98"/>
      <c r="E2326" s="98"/>
      <c r="F2326" s="99"/>
      <c r="G2326" s="100"/>
      <c r="H2326" s="100"/>
    </row>
    <row r="2327" customHeight="1" spans="2:8">
      <c r="B2327" s="98"/>
      <c r="C2327" s="98"/>
      <c r="D2327" s="98"/>
      <c r="E2327" s="98"/>
      <c r="F2327" s="99"/>
      <c r="G2327" s="100"/>
      <c r="H2327" s="100"/>
    </row>
    <row r="2328" customHeight="1" spans="2:8">
      <c r="B2328" s="98"/>
      <c r="C2328" s="98"/>
      <c r="D2328" s="98"/>
      <c r="E2328" s="98"/>
      <c r="F2328" s="99"/>
      <c r="G2328" s="100"/>
      <c r="H2328" s="100"/>
    </row>
    <row r="2329" customHeight="1" spans="2:8">
      <c r="B2329" s="98"/>
      <c r="C2329" s="98"/>
      <c r="D2329" s="98"/>
      <c r="E2329" s="98"/>
      <c r="F2329" s="99"/>
      <c r="G2329" s="100"/>
      <c r="H2329" s="100"/>
    </row>
    <row r="2330" customHeight="1" spans="2:8">
      <c r="B2330" s="98"/>
      <c r="C2330" s="98"/>
      <c r="D2330" s="98"/>
      <c r="E2330" s="98"/>
      <c r="F2330" s="99"/>
      <c r="G2330" s="100"/>
      <c r="H2330" s="100"/>
    </row>
    <row r="2331" customHeight="1" spans="2:8">
      <c r="B2331" s="98"/>
      <c r="C2331" s="98"/>
      <c r="D2331" s="98"/>
      <c r="E2331" s="98"/>
      <c r="F2331" s="99"/>
      <c r="G2331" s="100"/>
      <c r="H2331" s="100"/>
    </row>
    <row r="2332" customHeight="1" spans="2:8">
      <c r="B2332" s="98"/>
      <c r="C2332" s="98"/>
      <c r="D2332" s="98"/>
      <c r="E2332" s="98"/>
      <c r="F2332" s="99"/>
      <c r="G2332" s="100"/>
      <c r="H2332" s="100"/>
    </row>
    <row r="2333" customHeight="1" spans="2:8">
      <c r="B2333" s="98"/>
      <c r="C2333" s="98"/>
      <c r="D2333" s="98"/>
      <c r="E2333" s="98"/>
      <c r="F2333" s="99"/>
      <c r="G2333" s="100"/>
      <c r="H2333" s="100"/>
    </row>
    <row r="2334" customHeight="1" spans="2:8">
      <c r="B2334" s="98"/>
      <c r="C2334" s="98"/>
      <c r="D2334" s="98"/>
      <c r="E2334" s="98"/>
      <c r="F2334" s="99"/>
      <c r="G2334" s="100"/>
      <c r="H2334" s="100"/>
    </row>
    <row r="2335" customHeight="1" spans="2:8">
      <c r="B2335" s="98"/>
      <c r="C2335" s="98"/>
      <c r="D2335" s="98"/>
      <c r="E2335" s="98"/>
      <c r="F2335" s="99"/>
      <c r="G2335" s="100"/>
      <c r="H2335" s="100"/>
    </row>
    <row r="2336" customHeight="1" spans="2:8">
      <c r="B2336" s="98"/>
      <c r="C2336" s="98"/>
      <c r="D2336" s="98"/>
      <c r="E2336" s="98"/>
      <c r="F2336" s="99"/>
      <c r="G2336" s="100"/>
      <c r="H2336" s="100"/>
    </row>
    <row r="2337" customHeight="1" spans="2:8">
      <c r="B2337" s="98"/>
      <c r="C2337" s="98"/>
      <c r="D2337" s="98"/>
      <c r="E2337" s="98"/>
      <c r="F2337" s="99"/>
      <c r="G2337" s="100"/>
      <c r="H2337" s="100"/>
    </row>
    <row r="2338" customHeight="1" spans="2:8">
      <c r="B2338" s="98"/>
      <c r="C2338" s="98"/>
      <c r="D2338" s="98"/>
      <c r="E2338" s="98"/>
      <c r="F2338" s="99"/>
      <c r="G2338" s="100"/>
      <c r="H2338" s="100"/>
    </row>
    <row r="2339" customHeight="1" spans="2:8">
      <c r="B2339" s="98"/>
      <c r="C2339" s="98"/>
      <c r="D2339" s="98"/>
      <c r="E2339" s="98"/>
      <c r="F2339" s="99"/>
      <c r="G2339" s="100"/>
      <c r="H2339" s="100"/>
    </row>
    <row r="2340" customHeight="1" spans="2:8">
      <c r="B2340" s="98"/>
      <c r="C2340" s="98"/>
      <c r="D2340" s="98"/>
      <c r="E2340" s="98"/>
      <c r="F2340" s="99"/>
      <c r="G2340" s="100"/>
      <c r="H2340" s="100"/>
    </row>
    <row r="2341" customHeight="1" spans="2:8">
      <c r="B2341" s="98"/>
      <c r="C2341" s="98"/>
      <c r="D2341" s="98"/>
      <c r="E2341" s="98"/>
      <c r="F2341" s="99"/>
      <c r="G2341" s="100"/>
      <c r="H2341" s="100"/>
    </row>
    <row r="2342" customHeight="1" spans="2:8">
      <c r="B2342" s="98"/>
      <c r="C2342" s="98"/>
      <c r="D2342" s="98"/>
      <c r="E2342" s="98"/>
      <c r="F2342" s="99"/>
      <c r="G2342" s="100"/>
      <c r="H2342" s="100"/>
    </row>
    <row r="2343" customHeight="1" spans="2:8">
      <c r="B2343" s="98"/>
      <c r="C2343" s="98"/>
      <c r="D2343" s="98"/>
      <c r="E2343" s="98"/>
      <c r="F2343" s="99"/>
      <c r="G2343" s="100"/>
      <c r="H2343" s="100"/>
    </row>
    <row r="2344" customHeight="1" spans="2:8">
      <c r="B2344" s="98"/>
      <c r="C2344" s="98"/>
      <c r="D2344" s="98"/>
      <c r="E2344" s="98"/>
      <c r="F2344" s="99"/>
      <c r="G2344" s="100"/>
      <c r="H2344" s="100"/>
    </row>
    <row r="2345" customHeight="1" spans="2:8">
      <c r="B2345" s="98"/>
      <c r="C2345" s="98"/>
      <c r="D2345" s="98"/>
      <c r="E2345" s="98"/>
      <c r="F2345" s="99"/>
      <c r="G2345" s="100"/>
      <c r="H2345" s="100"/>
    </row>
    <row r="2346" customHeight="1" spans="2:8">
      <c r="B2346" s="98"/>
      <c r="C2346" s="98"/>
      <c r="D2346" s="98"/>
      <c r="E2346" s="98"/>
      <c r="F2346" s="99"/>
      <c r="G2346" s="100"/>
      <c r="H2346" s="100"/>
    </row>
    <row r="2347" customHeight="1" spans="2:8">
      <c r="B2347" s="98"/>
      <c r="C2347" s="98"/>
      <c r="D2347" s="98"/>
      <c r="E2347" s="98"/>
      <c r="F2347" s="99"/>
      <c r="G2347" s="100"/>
      <c r="H2347" s="100"/>
    </row>
    <row r="2348" customHeight="1" spans="2:8">
      <c r="B2348" s="98"/>
      <c r="C2348" s="98"/>
      <c r="D2348" s="98"/>
      <c r="E2348" s="98"/>
      <c r="F2348" s="99"/>
      <c r="G2348" s="100"/>
      <c r="H2348" s="100"/>
    </row>
    <row r="2349" customHeight="1" spans="2:8">
      <c r="B2349" s="98"/>
      <c r="C2349" s="98"/>
      <c r="D2349" s="98"/>
      <c r="E2349" s="98"/>
      <c r="F2349" s="99"/>
      <c r="G2349" s="100"/>
      <c r="H2349" s="100"/>
    </row>
    <row r="2350" customHeight="1" spans="2:8">
      <c r="B2350" s="98"/>
      <c r="C2350" s="98"/>
      <c r="D2350" s="98"/>
      <c r="E2350" s="98"/>
      <c r="F2350" s="99"/>
      <c r="G2350" s="100"/>
      <c r="H2350" s="100"/>
    </row>
    <row r="2351" customHeight="1" spans="2:8">
      <c r="B2351" s="98"/>
      <c r="C2351" s="98"/>
      <c r="D2351" s="98"/>
      <c r="E2351" s="98"/>
      <c r="F2351" s="99"/>
      <c r="G2351" s="100"/>
      <c r="H2351" s="100"/>
    </row>
    <row r="2352" customHeight="1" spans="2:8">
      <c r="B2352" s="98"/>
      <c r="C2352" s="98"/>
      <c r="D2352" s="98"/>
      <c r="E2352" s="98"/>
      <c r="F2352" s="99"/>
      <c r="G2352" s="100"/>
      <c r="H2352" s="100"/>
    </row>
    <row r="2353" customHeight="1" spans="2:8">
      <c r="B2353" s="98"/>
      <c r="C2353" s="98"/>
      <c r="D2353" s="98"/>
      <c r="E2353" s="98"/>
      <c r="F2353" s="99"/>
      <c r="G2353" s="100"/>
      <c r="H2353" s="100"/>
    </row>
    <row r="2354" customHeight="1" spans="2:8">
      <c r="B2354" s="98"/>
      <c r="C2354" s="98"/>
      <c r="D2354" s="98"/>
      <c r="E2354" s="98"/>
      <c r="F2354" s="99"/>
      <c r="G2354" s="100"/>
      <c r="H2354" s="100"/>
    </row>
    <row r="2355" customHeight="1" spans="2:8">
      <c r="B2355" s="98"/>
      <c r="C2355" s="98"/>
      <c r="D2355" s="98"/>
      <c r="E2355" s="98"/>
      <c r="F2355" s="99"/>
      <c r="G2355" s="100"/>
      <c r="H2355" s="100"/>
    </row>
    <row r="2356" customHeight="1" spans="2:8">
      <c r="B2356" s="98"/>
      <c r="C2356" s="98"/>
      <c r="D2356" s="98"/>
      <c r="E2356" s="98"/>
      <c r="F2356" s="99"/>
      <c r="G2356" s="100"/>
      <c r="H2356" s="100"/>
    </row>
    <row r="2357" customHeight="1" spans="2:8">
      <c r="B2357" s="98"/>
      <c r="C2357" s="98"/>
      <c r="D2357" s="98"/>
      <c r="E2357" s="98"/>
      <c r="F2357" s="99"/>
      <c r="G2357" s="100"/>
      <c r="H2357" s="100"/>
    </row>
    <row r="2358" customHeight="1" spans="2:8">
      <c r="B2358" s="98"/>
      <c r="C2358" s="98"/>
      <c r="D2358" s="98"/>
      <c r="E2358" s="98"/>
      <c r="F2358" s="99"/>
      <c r="G2358" s="100"/>
      <c r="H2358" s="100"/>
    </row>
    <row r="2359" customHeight="1" spans="2:8">
      <c r="B2359" s="98"/>
      <c r="C2359" s="98"/>
      <c r="D2359" s="98"/>
      <c r="E2359" s="98"/>
      <c r="F2359" s="99"/>
      <c r="G2359" s="100"/>
      <c r="H2359" s="100"/>
    </row>
    <row r="2360" customHeight="1" spans="2:8">
      <c r="B2360" s="98"/>
      <c r="C2360" s="98"/>
      <c r="D2360" s="98"/>
      <c r="E2360" s="98"/>
      <c r="F2360" s="99"/>
      <c r="G2360" s="100"/>
      <c r="H2360" s="100"/>
    </row>
    <row r="2361" customHeight="1" spans="2:8">
      <c r="B2361" s="98"/>
      <c r="C2361" s="98"/>
      <c r="D2361" s="98"/>
      <c r="E2361" s="98"/>
      <c r="F2361" s="99"/>
      <c r="G2361" s="100"/>
      <c r="H2361" s="100"/>
    </row>
    <row r="2362" customHeight="1" spans="2:8">
      <c r="B2362" s="98"/>
      <c r="C2362" s="98"/>
      <c r="D2362" s="98"/>
      <c r="E2362" s="98"/>
      <c r="F2362" s="99"/>
      <c r="G2362" s="100"/>
      <c r="H2362" s="100"/>
    </row>
    <row r="2363" customHeight="1" spans="2:8">
      <c r="B2363" s="98"/>
      <c r="C2363" s="98"/>
      <c r="D2363" s="98"/>
      <c r="E2363" s="98"/>
      <c r="F2363" s="99"/>
      <c r="G2363" s="100"/>
      <c r="H2363" s="100"/>
    </row>
    <row r="2364" customHeight="1" spans="2:8">
      <c r="B2364" s="98"/>
      <c r="C2364" s="98"/>
      <c r="D2364" s="98"/>
      <c r="E2364" s="98"/>
      <c r="F2364" s="99"/>
      <c r="G2364" s="100"/>
      <c r="H2364" s="100"/>
    </row>
    <row r="2365" customHeight="1" spans="2:8">
      <c r="B2365" s="98"/>
      <c r="C2365" s="98"/>
      <c r="D2365" s="98"/>
      <c r="E2365" s="98"/>
      <c r="F2365" s="99"/>
      <c r="G2365" s="100"/>
      <c r="H2365" s="100"/>
    </row>
    <row r="2366" customHeight="1" spans="2:8">
      <c r="B2366" s="98"/>
      <c r="C2366" s="98"/>
      <c r="D2366" s="98"/>
      <c r="E2366" s="98"/>
      <c r="F2366" s="99"/>
      <c r="G2366" s="100"/>
      <c r="H2366" s="100"/>
    </row>
    <row r="2367" customHeight="1" spans="2:8">
      <c r="B2367" s="98"/>
      <c r="C2367" s="98"/>
      <c r="D2367" s="98"/>
      <c r="E2367" s="98"/>
      <c r="F2367" s="99"/>
      <c r="G2367" s="100"/>
      <c r="H2367" s="100"/>
    </row>
    <row r="2368" customHeight="1" spans="2:8">
      <c r="B2368" s="98"/>
      <c r="C2368" s="98"/>
      <c r="D2368" s="98"/>
      <c r="E2368" s="98"/>
      <c r="F2368" s="99"/>
      <c r="G2368" s="100"/>
      <c r="H2368" s="100"/>
    </row>
    <row r="2369" customHeight="1" spans="2:8">
      <c r="B2369" s="98"/>
      <c r="C2369" s="98"/>
      <c r="D2369" s="98"/>
      <c r="E2369" s="98"/>
      <c r="F2369" s="99"/>
      <c r="G2369" s="100"/>
      <c r="H2369" s="100"/>
    </row>
    <row r="2370" customHeight="1" spans="2:8">
      <c r="B2370" s="98"/>
      <c r="C2370" s="98"/>
      <c r="D2370" s="98"/>
      <c r="E2370" s="98"/>
      <c r="F2370" s="99"/>
      <c r="G2370" s="100"/>
      <c r="H2370" s="100"/>
    </row>
    <row r="2371" customHeight="1" spans="2:8">
      <c r="B2371" s="98"/>
      <c r="C2371" s="98"/>
      <c r="D2371" s="98"/>
      <c r="E2371" s="98"/>
      <c r="F2371" s="99"/>
      <c r="G2371" s="100"/>
      <c r="H2371" s="100"/>
    </row>
    <row r="2372" customHeight="1" spans="2:8">
      <c r="B2372" s="98"/>
      <c r="C2372" s="98"/>
      <c r="D2372" s="98"/>
      <c r="E2372" s="98"/>
      <c r="F2372" s="99"/>
      <c r="G2372" s="100"/>
      <c r="H2372" s="100"/>
    </row>
    <row r="2373" customHeight="1" spans="2:8">
      <c r="B2373" s="98"/>
      <c r="C2373" s="98"/>
      <c r="D2373" s="98"/>
      <c r="E2373" s="98"/>
      <c r="F2373" s="99"/>
      <c r="G2373" s="100"/>
      <c r="H2373" s="100"/>
    </row>
    <row r="2374" customHeight="1" spans="2:8">
      <c r="B2374" s="98"/>
      <c r="C2374" s="98"/>
      <c r="D2374" s="98"/>
      <c r="E2374" s="98"/>
      <c r="F2374" s="99"/>
      <c r="G2374" s="100"/>
      <c r="H2374" s="100"/>
    </row>
    <row r="2375" customHeight="1" spans="2:8">
      <c r="B2375" s="98"/>
      <c r="C2375" s="98"/>
      <c r="D2375" s="98"/>
      <c r="E2375" s="98"/>
      <c r="F2375" s="99"/>
      <c r="G2375" s="100"/>
      <c r="H2375" s="100"/>
    </row>
    <row r="2376" customHeight="1" spans="2:8">
      <c r="B2376" s="98"/>
      <c r="C2376" s="98"/>
      <c r="D2376" s="98"/>
      <c r="E2376" s="98"/>
      <c r="F2376" s="99"/>
      <c r="G2376" s="100"/>
      <c r="H2376" s="100"/>
    </row>
    <row r="2377" customHeight="1" spans="2:8">
      <c r="B2377" s="98"/>
      <c r="C2377" s="98"/>
      <c r="D2377" s="98"/>
      <c r="E2377" s="98"/>
      <c r="F2377" s="99"/>
      <c r="G2377" s="100"/>
      <c r="H2377" s="100"/>
    </row>
    <row r="2378" customHeight="1" spans="2:8">
      <c r="B2378" s="98"/>
      <c r="C2378" s="98"/>
      <c r="D2378" s="98"/>
      <c r="E2378" s="98"/>
      <c r="F2378" s="99"/>
      <c r="G2378" s="100"/>
      <c r="H2378" s="100"/>
    </row>
    <row r="2379" customHeight="1" spans="2:8">
      <c r="B2379" s="98"/>
      <c r="C2379" s="98"/>
      <c r="D2379" s="98"/>
      <c r="E2379" s="98"/>
      <c r="F2379" s="99"/>
      <c r="G2379" s="100"/>
      <c r="H2379" s="100"/>
    </row>
    <row r="2380" customHeight="1" spans="2:8">
      <c r="B2380" s="98"/>
      <c r="C2380" s="98"/>
      <c r="D2380" s="98"/>
      <c r="E2380" s="98"/>
      <c r="F2380" s="99"/>
      <c r="G2380" s="100"/>
      <c r="H2380" s="100"/>
    </row>
    <row r="2381" customHeight="1" spans="2:8">
      <c r="B2381" s="98"/>
      <c r="C2381" s="98"/>
      <c r="D2381" s="98"/>
      <c r="E2381" s="98"/>
      <c r="F2381" s="99"/>
      <c r="G2381" s="100"/>
      <c r="H2381" s="100"/>
    </row>
    <row r="2382" customHeight="1" spans="2:8">
      <c r="B2382" s="98"/>
      <c r="C2382" s="98"/>
      <c r="D2382" s="98"/>
      <c r="E2382" s="98"/>
      <c r="F2382" s="99"/>
      <c r="G2382" s="100"/>
      <c r="H2382" s="100"/>
    </row>
    <row r="2383" customHeight="1" spans="2:8">
      <c r="B2383" s="98"/>
      <c r="C2383" s="98"/>
      <c r="D2383" s="98"/>
      <c r="E2383" s="98"/>
      <c r="F2383" s="99"/>
      <c r="G2383" s="100"/>
      <c r="H2383" s="100"/>
    </row>
    <row r="2384" customHeight="1" spans="2:8">
      <c r="B2384" s="98"/>
      <c r="C2384" s="98"/>
      <c r="D2384" s="98"/>
      <c r="E2384" s="98"/>
      <c r="F2384" s="99"/>
      <c r="G2384" s="100"/>
      <c r="H2384" s="100"/>
    </row>
    <row r="2385" customHeight="1" spans="2:8">
      <c r="B2385" s="98"/>
      <c r="C2385" s="98"/>
      <c r="D2385" s="98"/>
      <c r="E2385" s="98"/>
      <c r="F2385" s="99"/>
      <c r="G2385" s="100"/>
      <c r="H2385" s="100"/>
    </row>
    <row r="2386" customHeight="1" spans="2:8">
      <c r="B2386" s="98"/>
      <c r="C2386" s="98"/>
      <c r="D2386" s="98"/>
      <c r="E2386" s="98"/>
      <c r="F2386" s="99"/>
      <c r="G2386" s="100"/>
      <c r="H2386" s="100"/>
    </row>
    <row r="2387" customHeight="1" spans="2:8">
      <c r="B2387" s="98"/>
      <c r="C2387" s="98"/>
      <c r="D2387" s="98"/>
      <c r="E2387" s="98"/>
      <c r="F2387" s="99"/>
      <c r="G2387" s="100"/>
      <c r="H2387" s="100"/>
    </row>
    <row r="2388" customHeight="1" spans="2:8">
      <c r="B2388" s="98"/>
      <c r="C2388" s="98"/>
      <c r="D2388" s="98"/>
      <c r="E2388" s="98"/>
      <c r="F2388" s="99"/>
      <c r="G2388" s="100"/>
      <c r="H2388" s="100"/>
    </row>
    <row r="2389" customHeight="1" spans="2:8">
      <c r="B2389" s="98"/>
      <c r="C2389" s="98"/>
      <c r="D2389" s="98"/>
      <c r="E2389" s="98"/>
      <c r="F2389" s="99"/>
      <c r="G2389" s="100"/>
      <c r="H2389" s="100"/>
    </row>
    <row r="2390" customHeight="1" spans="2:8">
      <c r="B2390" s="98"/>
      <c r="C2390" s="98"/>
      <c r="D2390" s="98"/>
      <c r="E2390" s="98"/>
      <c r="F2390" s="99"/>
      <c r="G2390" s="100"/>
      <c r="H2390" s="100"/>
    </row>
    <row r="2391" customHeight="1" spans="2:8">
      <c r="B2391" s="98"/>
      <c r="C2391" s="98"/>
      <c r="D2391" s="98"/>
      <c r="E2391" s="98"/>
      <c r="F2391" s="99"/>
      <c r="G2391" s="100"/>
      <c r="H2391" s="100"/>
    </row>
    <row r="2392" customHeight="1" spans="2:8">
      <c r="B2392" s="98"/>
      <c r="C2392" s="98"/>
      <c r="D2392" s="98"/>
      <c r="E2392" s="98"/>
      <c r="F2392" s="99"/>
      <c r="G2392" s="100"/>
      <c r="H2392" s="100"/>
    </row>
    <row r="2393" customHeight="1" spans="2:8">
      <c r="B2393" s="98"/>
      <c r="C2393" s="98"/>
      <c r="D2393" s="98"/>
      <c r="E2393" s="98"/>
      <c r="F2393" s="99"/>
      <c r="G2393" s="100"/>
      <c r="H2393" s="100"/>
    </row>
    <row r="2394" customHeight="1" spans="2:8">
      <c r="B2394" s="98"/>
      <c r="C2394" s="98"/>
      <c r="D2394" s="98"/>
      <c r="E2394" s="98"/>
      <c r="F2394" s="99"/>
      <c r="G2394" s="100"/>
      <c r="H2394" s="100"/>
    </row>
    <row r="2395" customHeight="1" spans="2:8">
      <c r="B2395" s="98"/>
      <c r="C2395" s="98"/>
      <c r="D2395" s="98"/>
      <c r="E2395" s="98"/>
      <c r="F2395" s="99"/>
      <c r="G2395" s="100"/>
      <c r="H2395" s="100"/>
    </row>
    <row r="2396" customHeight="1" spans="2:8">
      <c r="B2396" s="98"/>
      <c r="C2396" s="98"/>
      <c r="D2396" s="98"/>
      <c r="E2396" s="98"/>
      <c r="F2396" s="99"/>
      <c r="G2396" s="100"/>
      <c r="H2396" s="100"/>
    </row>
    <row r="2397" customHeight="1" spans="2:8">
      <c r="B2397" s="98"/>
      <c r="C2397" s="98"/>
      <c r="D2397" s="98"/>
      <c r="E2397" s="98"/>
      <c r="F2397" s="99"/>
      <c r="G2397" s="100"/>
      <c r="H2397" s="100"/>
    </row>
    <row r="2398" customHeight="1" spans="2:8">
      <c r="B2398" s="98"/>
      <c r="C2398" s="98"/>
      <c r="D2398" s="98"/>
      <c r="E2398" s="98"/>
      <c r="F2398" s="99"/>
      <c r="G2398" s="100"/>
      <c r="H2398" s="100"/>
    </row>
    <row r="2399" customHeight="1" spans="2:8">
      <c r="B2399" s="98"/>
      <c r="C2399" s="98"/>
      <c r="D2399" s="98"/>
      <c r="E2399" s="98"/>
      <c r="F2399" s="99"/>
      <c r="G2399" s="100"/>
      <c r="H2399" s="100"/>
    </row>
    <row r="2400" customHeight="1" spans="2:8">
      <c r="B2400" s="98"/>
      <c r="C2400" s="98"/>
      <c r="D2400" s="98"/>
      <c r="E2400" s="98"/>
      <c r="F2400" s="99"/>
      <c r="G2400" s="100"/>
      <c r="H2400" s="100"/>
    </row>
    <row r="2401" customHeight="1" spans="2:8">
      <c r="B2401" s="98"/>
      <c r="C2401" s="98"/>
      <c r="D2401" s="98"/>
      <c r="E2401" s="98"/>
      <c r="F2401" s="99"/>
      <c r="G2401" s="100"/>
      <c r="H2401" s="100"/>
    </row>
    <row r="2402" customHeight="1" spans="2:8">
      <c r="B2402" s="98"/>
      <c r="C2402" s="98"/>
      <c r="D2402" s="98"/>
      <c r="E2402" s="98"/>
      <c r="F2402" s="99"/>
      <c r="G2402" s="100"/>
      <c r="H2402" s="100"/>
    </row>
    <row r="2403" customHeight="1" spans="2:8">
      <c r="B2403" s="98"/>
      <c r="C2403" s="98"/>
      <c r="D2403" s="98"/>
      <c r="E2403" s="98"/>
      <c r="F2403" s="99"/>
      <c r="G2403" s="100"/>
      <c r="H2403" s="100"/>
    </row>
    <row r="2404" customHeight="1" spans="2:8">
      <c r="B2404" s="98"/>
      <c r="C2404" s="98"/>
      <c r="D2404" s="98"/>
      <c r="E2404" s="98"/>
      <c r="F2404" s="99"/>
      <c r="G2404" s="100"/>
      <c r="H2404" s="100"/>
    </row>
    <row r="2405" customHeight="1" spans="2:8">
      <c r="B2405" s="98"/>
      <c r="C2405" s="98"/>
      <c r="D2405" s="98"/>
      <c r="E2405" s="98"/>
      <c r="F2405" s="99"/>
      <c r="G2405" s="100"/>
      <c r="H2405" s="100"/>
    </row>
    <row r="2406" customHeight="1" spans="2:8">
      <c r="B2406" s="98"/>
      <c r="C2406" s="98"/>
      <c r="D2406" s="98"/>
      <c r="E2406" s="98"/>
      <c r="F2406" s="99"/>
      <c r="G2406" s="100"/>
      <c r="H2406" s="100"/>
    </row>
    <row r="2407" customHeight="1" spans="2:8">
      <c r="B2407" s="98"/>
      <c r="C2407" s="98"/>
      <c r="D2407" s="98"/>
      <c r="E2407" s="98"/>
      <c r="F2407" s="99"/>
      <c r="G2407" s="100"/>
      <c r="H2407" s="100"/>
    </row>
    <row r="2408" customHeight="1" spans="2:8">
      <c r="B2408" s="98"/>
      <c r="C2408" s="98"/>
      <c r="D2408" s="98"/>
      <c r="E2408" s="98"/>
      <c r="F2408" s="99"/>
      <c r="G2408" s="100"/>
      <c r="H2408" s="100"/>
    </row>
    <row r="2409" customHeight="1" spans="2:8">
      <c r="B2409" s="98"/>
      <c r="C2409" s="98"/>
      <c r="D2409" s="98"/>
      <c r="E2409" s="98"/>
      <c r="F2409" s="99"/>
      <c r="G2409" s="100"/>
      <c r="H2409" s="100"/>
    </row>
    <row r="2410" customHeight="1" spans="2:8">
      <c r="B2410" s="98"/>
      <c r="C2410" s="98"/>
      <c r="D2410" s="98"/>
      <c r="E2410" s="98"/>
      <c r="F2410" s="99"/>
      <c r="G2410" s="100"/>
      <c r="H2410" s="100"/>
    </row>
    <row r="2411" customHeight="1" spans="2:8">
      <c r="B2411" s="98"/>
      <c r="C2411" s="98"/>
      <c r="D2411" s="98"/>
      <c r="E2411" s="98"/>
      <c r="F2411" s="99"/>
      <c r="G2411" s="100"/>
      <c r="H2411" s="100"/>
    </row>
    <row r="2412" customHeight="1" spans="2:8">
      <c r="B2412" s="98"/>
      <c r="C2412" s="98"/>
      <c r="D2412" s="98"/>
      <c r="E2412" s="98"/>
      <c r="F2412" s="99"/>
      <c r="G2412" s="100"/>
      <c r="H2412" s="100"/>
    </row>
    <row r="2413" customHeight="1" spans="2:8">
      <c r="B2413" s="98"/>
      <c r="C2413" s="98"/>
      <c r="D2413" s="98"/>
      <c r="E2413" s="98"/>
      <c r="F2413" s="99"/>
      <c r="G2413" s="100"/>
      <c r="H2413" s="100"/>
    </row>
    <row r="2414" customHeight="1" spans="2:8">
      <c r="B2414" s="98"/>
      <c r="C2414" s="98"/>
      <c r="D2414" s="98"/>
      <c r="E2414" s="98"/>
      <c r="F2414" s="99"/>
      <c r="G2414" s="100"/>
      <c r="H2414" s="100"/>
    </row>
    <row r="2415" customHeight="1" spans="2:8">
      <c r="B2415" s="98"/>
      <c r="C2415" s="98"/>
      <c r="D2415" s="98"/>
      <c r="E2415" s="98"/>
      <c r="F2415" s="99"/>
      <c r="G2415" s="100"/>
      <c r="H2415" s="100"/>
    </row>
    <row r="2416" customHeight="1" spans="2:8">
      <c r="B2416" s="98"/>
      <c r="C2416" s="98"/>
      <c r="D2416" s="98"/>
      <c r="E2416" s="98"/>
      <c r="F2416" s="99"/>
      <c r="G2416" s="100"/>
      <c r="H2416" s="100"/>
    </row>
    <row r="2417" customHeight="1" spans="2:8">
      <c r="B2417" s="98"/>
      <c r="C2417" s="98"/>
      <c r="D2417" s="98"/>
      <c r="E2417" s="98"/>
      <c r="F2417" s="99"/>
      <c r="G2417" s="100"/>
      <c r="H2417" s="100"/>
    </row>
    <row r="2418" customHeight="1" spans="2:8">
      <c r="B2418" s="98"/>
      <c r="C2418" s="98"/>
      <c r="D2418" s="98"/>
      <c r="E2418" s="98"/>
      <c r="F2418" s="99"/>
      <c r="G2418" s="100"/>
      <c r="H2418" s="100"/>
    </row>
    <row r="2419" customHeight="1" spans="2:8">
      <c r="B2419" s="98"/>
      <c r="C2419" s="98"/>
      <c r="D2419" s="98"/>
      <c r="E2419" s="98"/>
      <c r="F2419" s="99"/>
      <c r="G2419" s="100"/>
      <c r="H2419" s="100"/>
    </row>
    <row r="2420" customHeight="1" spans="2:8">
      <c r="B2420" s="98"/>
      <c r="C2420" s="98"/>
      <c r="D2420" s="98"/>
      <c r="E2420" s="98"/>
      <c r="F2420" s="99"/>
      <c r="G2420" s="100"/>
      <c r="H2420" s="100"/>
    </row>
    <row r="2421" customHeight="1" spans="2:8">
      <c r="B2421" s="98"/>
      <c r="C2421" s="98"/>
      <c r="D2421" s="98"/>
      <c r="E2421" s="98"/>
      <c r="F2421" s="99"/>
      <c r="G2421" s="100"/>
      <c r="H2421" s="100"/>
    </row>
    <row r="2422" customHeight="1" spans="2:8">
      <c r="B2422" s="98"/>
      <c r="C2422" s="98"/>
      <c r="D2422" s="98"/>
      <c r="E2422" s="98"/>
      <c r="F2422" s="99"/>
      <c r="G2422" s="100"/>
      <c r="H2422" s="100"/>
    </row>
    <row r="2423" customHeight="1" spans="2:8">
      <c r="B2423" s="98"/>
      <c r="C2423" s="98"/>
      <c r="D2423" s="98"/>
      <c r="E2423" s="98"/>
      <c r="F2423" s="99"/>
      <c r="G2423" s="100"/>
      <c r="H2423" s="100"/>
    </row>
    <row r="2424" customHeight="1" spans="2:8">
      <c r="B2424" s="98"/>
      <c r="C2424" s="98"/>
      <c r="D2424" s="98"/>
      <c r="E2424" s="98"/>
      <c r="F2424" s="99"/>
      <c r="G2424" s="100"/>
      <c r="H2424" s="100"/>
    </row>
    <row r="2425" customHeight="1" spans="2:8">
      <c r="B2425" s="98"/>
      <c r="C2425" s="98"/>
      <c r="D2425" s="98"/>
      <c r="E2425" s="98"/>
      <c r="F2425" s="99"/>
      <c r="G2425" s="100"/>
      <c r="H2425" s="100"/>
    </row>
    <row r="2426" customHeight="1" spans="2:8">
      <c r="B2426" s="98"/>
      <c r="C2426" s="98"/>
      <c r="D2426" s="98"/>
      <c r="E2426" s="98"/>
      <c r="F2426" s="99"/>
      <c r="G2426" s="100"/>
      <c r="H2426" s="100"/>
    </row>
    <row r="2427" customHeight="1" spans="2:8">
      <c r="B2427" s="98"/>
      <c r="C2427" s="98"/>
      <c r="D2427" s="98"/>
      <c r="E2427" s="98"/>
      <c r="F2427" s="99"/>
      <c r="G2427" s="100"/>
      <c r="H2427" s="100"/>
    </row>
    <row r="2428" customHeight="1" spans="2:8">
      <c r="B2428" s="98"/>
      <c r="C2428" s="98"/>
      <c r="D2428" s="98"/>
      <c r="E2428" s="98"/>
      <c r="F2428" s="99"/>
      <c r="G2428" s="100"/>
      <c r="H2428" s="100"/>
    </row>
    <row r="2429" customHeight="1" spans="2:8">
      <c r="B2429" s="98"/>
      <c r="C2429" s="98"/>
      <c r="D2429" s="98"/>
      <c r="E2429" s="98"/>
      <c r="F2429" s="99"/>
      <c r="G2429" s="100"/>
      <c r="H2429" s="100"/>
    </row>
    <row r="2430" customHeight="1" spans="2:8">
      <c r="B2430" s="98"/>
      <c r="C2430" s="98"/>
      <c r="D2430" s="98"/>
      <c r="E2430" s="98"/>
      <c r="F2430" s="99"/>
      <c r="G2430" s="100"/>
      <c r="H2430" s="100"/>
    </row>
    <row r="2431" customHeight="1" spans="2:8">
      <c r="B2431" s="98"/>
      <c r="C2431" s="98"/>
      <c r="D2431" s="98"/>
      <c r="E2431" s="98"/>
      <c r="F2431" s="99"/>
      <c r="G2431" s="100"/>
      <c r="H2431" s="100"/>
    </row>
    <row r="2432" customHeight="1" spans="2:8">
      <c r="B2432" s="98"/>
      <c r="C2432" s="98"/>
      <c r="D2432" s="98"/>
      <c r="E2432" s="98"/>
      <c r="F2432" s="99"/>
      <c r="G2432" s="100"/>
      <c r="H2432" s="100"/>
    </row>
    <row r="2433" customHeight="1" spans="2:8">
      <c r="B2433" s="98"/>
      <c r="C2433" s="98"/>
      <c r="D2433" s="98"/>
      <c r="E2433" s="98"/>
      <c r="F2433" s="99"/>
      <c r="G2433" s="100"/>
      <c r="H2433" s="100"/>
    </row>
    <row r="2434" customHeight="1" spans="2:8">
      <c r="B2434" s="98"/>
      <c r="C2434" s="98"/>
      <c r="D2434" s="98"/>
      <c r="E2434" s="98"/>
      <c r="F2434" s="99"/>
      <c r="G2434" s="100"/>
      <c r="H2434" s="100"/>
    </row>
    <row r="2435" customHeight="1" spans="2:8">
      <c r="B2435" s="98"/>
      <c r="C2435" s="98"/>
      <c r="D2435" s="98"/>
      <c r="E2435" s="98"/>
      <c r="F2435" s="99"/>
      <c r="G2435" s="100"/>
      <c r="H2435" s="100"/>
    </row>
    <row r="2436" customHeight="1" spans="2:8">
      <c r="B2436" s="98"/>
      <c r="C2436" s="98"/>
      <c r="D2436" s="98"/>
      <c r="E2436" s="98"/>
      <c r="F2436" s="99"/>
      <c r="G2436" s="100"/>
      <c r="H2436" s="100"/>
    </row>
    <row r="2437" customHeight="1" spans="2:8">
      <c r="B2437" s="98"/>
      <c r="C2437" s="98"/>
      <c r="D2437" s="98"/>
      <c r="E2437" s="98"/>
      <c r="F2437" s="99"/>
      <c r="G2437" s="100"/>
      <c r="H2437" s="100"/>
    </row>
    <row r="2438" customHeight="1" spans="2:8">
      <c r="B2438" s="98"/>
      <c r="C2438" s="98"/>
      <c r="D2438" s="98"/>
      <c r="E2438" s="98"/>
      <c r="F2438" s="99"/>
      <c r="G2438" s="100"/>
      <c r="H2438" s="100"/>
    </row>
    <row r="2439" customHeight="1" spans="2:8">
      <c r="B2439" s="98"/>
      <c r="C2439" s="98"/>
      <c r="D2439" s="98"/>
      <c r="E2439" s="98"/>
      <c r="F2439" s="99"/>
      <c r="G2439" s="100"/>
      <c r="H2439" s="100"/>
    </row>
    <row r="2440" customHeight="1" spans="2:8">
      <c r="B2440" s="98"/>
      <c r="C2440" s="98"/>
      <c r="D2440" s="98"/>
      <c r="E2440" s="98"/>
      <c r="F2440" s="99"/>
      <c r="G2440" s="100"/>
      <c r="H2440" s="100"/>
    </row>
    <row r="2441" customHeight="1" spans="2:8">
      <c r="B2441" s="98"/>
      <c r="C2441" s="98"/>
      <c r="D2441" s="98"/>
      <c r="E2441" s="98"/>
      <c r="F2441" s="99"/>
      <c r="G2441" s="100"/>
      <c r="H2441" s="100"/>
    </row>
    <row r="2442" customHeight="1" spans="2:8">
      <c r="B2442" s="98"/>
      <c r="C2442" s="98"/>
      <c r="D2442" s="98"/>
      <c r="E2442" s="98"/>
      <c r="F2442" s="99"/>
      <c r="G2442" s="100"/>
      <c r="H2442" s="100"/>
    </row>
    <row r="2443" customHeight="1" spans="2:8">
      <c r="B2443" s="98"/>
      <c r="C2443" s="98"/>
      <c r="D2443" s="98"/>
      <c r="E2443" s="98"/>
      <c r="F2443" s="99"/>
      <c r="G2443" s="100"/>
      <c r="H2443" s="100"/>
    </row>
    <row r="2444" customHeight="1" spans="2:8">
      <c r="B2444" s="98"/>
      <c r="C2444" s="98"/>
      <c r="D2444" s="98"/>
      <c r="E2444" s="98"/>
      <c r="F2444" s="99"/>
      <c r="G2444" s="100"/>
      <c r="H2444" s="100"/>
    </row>
    <row r="2445" customHeight="1" spans="2:8">
      <c r="B2445" s="98"/>
      <c r="C2445" s="98"/>
      <c r="D2445" s="98"/>
      <c r="E2445" s="98"/>
      <c r="F2445" s="99"/>
      <c r="G2445" s="100"/>
      <c r="H2445" s="100"/>
    </row>
    <row r="2446" customHeight="1" spans="2:8">
      <c r="B2446" s="98"/>
      <c r="C2446" s="98"/>
      <c r="D2446" s="98"/>
      <c r="E2446" s="98"/>
      <c r="F2446" s="99"/>
      <c r="G2446" s="100"/>
      <c r="H2446" s="100"/>
    </row>
    <row r="2447" customHeight="1" spans="2:8">
      <c r="B2447" s="98"/>
      <c r="C2447" s="98"/>
      <c r="D2447" s="98"/>
      <c r="E2447" s="98"/>
      <c r="F2447" s="99"/>
      <c r="G2447" s="100"/>
      <c r="H2447" s="100"/>
    </row>
    <row r="2448" customHeight="1" spans="2:8">
      <c r="B2448" s="98"/>
      <c r="C2448" s="98"/>
      <c r="D2448" s="98"/>
      <c r="E2448" s="98"/>
      <c r="F2448" s="99"/>
      <c r="G2448" s="100"/>
      <c r="H2448" s="100"/>
    </row>
    <row r="2449" customHeight="1" spans="2:8">
      <c r="B2449" s="98"/>
      <c r="C2449" s="98"/>
      <c r="D2449" s="98"/>
      <c r="E2449" s="98"/>
      <c r="F2449" s="99"/>
      <c r="G2449" s="100"/>
      <c r="H2449" s="100"/>
    </row>
    <row r="2450" customHeight="1" spans="2:8">
      <c r="B2450" s="98"/>
      <c r="C2450" s="98"/>
      <c r="D2450" s="98"/>
      <c r="E2450" s="98"/>
      <c r="F2450" s="99"/>
      <c r="G2450" s="100"/>
      <c r="H2450" s="100"/>
    </row>
    <row r="2451" customHeight="1" spans="2:8">
      <c r="B2451" s="98"/>
      <c r="C2451" s="98"/>
      <c r="D2451" s="98"/>
      <c r="E2451" s="98"/>
      <c r="F2451" s="99"/>
      <c r="G2451" s="100"/>
      <c r="H2451" s="100"/>
    </row>
    <row r="2452" customHeight="1" spans="2:8">
      <c r="B2452" s="98"/>
      <c r="C2452" s="98"/>
      <c r="D2452" s="98"/>
      <c r="E2452" s="98"/>
      <c r="F2452" s="99"/>
      <c r="G2452" s="100"/>
      <c r="H2452" s="100"/>
    </row>
    <row r="2453" customHeight="1" spans="2:8">
      <c r="B2453" s="98"/>
      <c r="C2453" s="98"/>
      <c r="D2453" s="98"/>
      <c r="E2453" s="98"/>
      <c r="F2453" s="99"/>
      <c r="G2453" s="100"/>
      <c r="H2453" s="100"/>
    </row>
    <row r="2454" customHeight="1" spans="2:8">
      <c r="B2454" s="98"/>
      <c r="C2454" s="98"/>
      <c r="D2454" s="98"/>
      <c r="E2454" s="98"/>
      <c r="F2454" s="99"/>
      <c r="G2454" s="100"/>
      <c r="H2454" s="100"/>
    </row>
    <row r="2455" customHeight="1" spans="2:8">
      <c r="B2455" s="98"/>
      <c r="C2455" s="98"/>
      <c r="D2455" s="98"/>
      <c r="E2455" s="98"/>
      <c r="F2455" s="99"/>
      <c r="G2455" s="100"/>
      <c r="H2455" s="100"/>
    </row>
    <row r="2456" customHeight="1" spans="2:8">
      <c r="B2456" s="98"/>
      <c r="C2456" s="98"/>
      <c r="D2456" s="98"/>
      <c r="E2456" s="98"/>
      <c r="F2456" s="99"/>
      <c r="G2456" s="100"/>
      <c r="H2456" s="100"/>
    </row>
    <row r="2457" customHeight="1" spans="2:8">
      <c r="B2457" s="98"/>
      <c r="C2457" s="98"/>
      <c r="D2457" s="98"/>
      <c r="E2457" s="98"/>
      <c r="F2457" s="99"/>
      <c r="G2457" s="100"/>
      <c r="H2457" s="100"/>
    </row>
    <row r="2458" customHeight="1" spans="2:8">
      <c r="B2458" s="98"/>
      <c r="C2458" s="98"/>
      <c r="D2458" s="98"/>
      <c r="E2458" s="98"/>
      <c r="F2458" s="99"/>
      <c r="G2458" s="100"/>
      <c r="H2458" s="100"/>
    </row>
    <row r="2459" customHeight="1" spans="2:8">
      <c r="B2459" s="98"/>
      <c r="C2459" s="98"/>
      <c r="D2459" s="98"/>
      <c r="E2459" s="98"/>
      <c r="F2459" s="99"/>
      <c r="G2459" s="100"/>
      <c r="H2459" s="100"/>
    </row>
    <row r="2460" customHeight="1" spans="2:8">
      <c r="B2460" s="98"/>
      <c r="C2460" s="98"/>
      <c r="D2460" s="98"/>
      <c r="E2460" s="98"/>
      <c r="F2460" s="99"/>
      <c r="G2460" s="100"/>
      <c r="H2460" s="100"/>
    </row>
    <row r="2461" customHeight="1" spans="2:8">
      <c r="B2461" s="98"/>
      <c r="C2461" s="98"/>
      <c r="D2461" s="98"/>
      <c r="E2461" s="98"/>
      <c r="F2461" s="99"/>
      <c r="G2461" s="100"/>
      <c r="H2461" s="100"/>
    </row>
    <row r="2462" customHeight="1" spans="2:8">
      <c r="B2462" s="98"/>
      <c r="C2462" s="98"/>
      <c r="D2462" s="98"/>
      <c r="E2462" s="98"/>
      <c r="F2462" s="99"/>
      <c r="G2462" s="100"/>
      <c r="H2462" s="100"/>
    </row>
    <row r="2463" customHeight="1" spans="2:8">
      <c r="B2463" s="98"/>
      <c r="C2463" s="98"/>
      <c r="D2463" s="98"/>
      <c r="E2463" s="98"/>
      <c r="F2463" s="99"/>
      <c r="G2463" s="100"/>
      <c r="H2463" s="100"/>
    </row>
    <row r="2464" customHeight="1" spans="2:8">
      <c r="B2464" s="98"/>
      <c r="C2464" s="98"/>
      <c r="D2464" s="98"/>
      <c r="E2464" s="98"/>
      <c r="F2464" s="99"/>
      <c r="G2464" s="100"/>
      <c r="H2464" s="100"/>
    </row>
    <row r="2465" customHeight="1" spans="2:8">
      <c r="B2465" s="98"/>
      <c r="C2465" s="98"/>
      <c r="D2465" s="98"/>
      <c r="E2465" s="98"/>
      <c r="F2465" s="99"/>
      <c r="G2465" s="100"/>
      <c r="H2465" s="100"/>
    </row>
    <row r="2466" customHeight="1" spans="2:8">
      <c r="B2466" s="98"/>
      <c r="C2466" s="98"/>
      <c r="D2466" s="98"/>
      <c r="E2466" s="98"/>
      <c r="F2466" s="99"/>
      <c r="G2466" s="100"/>
      <c r="H2466" s="100"/>
    </row>
    <row r="2467" customHeight="1" spans="2:8">
      <c r="B2467" s="98"/>
      <c r="C2467" s="98"/>
      <c r="D2467" s="98"/>
      <c r="E2467" s="98"/>
      <c r="F2467" s="99"/>
      <c r="G2467" s="100"/>
      <c r="H2467" s="100"/>
    </row>
    <row r="2468" customHeight="1" spans="2:8">
      <c r="B2468" s="98"/>
      <c r="C2468" s="98"/>
      <c r="D2468" s="98"/>
      <c r="E2468" s="98"/>
      <c r="F2468" s="99"/>
      <c r="G2468" s="100"/>
      <c r="H2468" s="100"/>
    </row>
    <row r="2469" customHeight="1" spans="2:8">
      <c r="B2469" s="98"/>
      <c r="C2469" s="98"/>
      <c r="D2469" s="98"/>
      <c r="E2469" s="98"/>
      <c r="F2469" s="99"/>
      <c r="G2469" s="100"/>
      <c r="H2469" s="100"/>
    </row>
    <row r="2470" customHeight="1" spans="2:8">
      <c r="B2470" s="98"/>
      <c r="C2470" s="98"/>
      <c r="D2470" s="98"/>
      <c r="E2470" s="98"/>
      <c r="F2470" s="99"/>
      <c r="G2470" s="100"/>
      <c r="H2470" s="100"/>
    </row>
    <row r="2471" customHeight="1" spans="2:8">
      <c r="B2471" s="98"/>
      <c r="C2471" s="98"/>
      <c r="D2471" s="98"/>
      <c r="E2471" s="98"/>
      <c r="F2471" s="99"/>
      <c r="G2471" s="100"/>
      <c r="H2471" s="100"/>
    </row>
    <row r="2472" customHeight="1" spans="2:8">
      <c r="B2472" s="98"/>
      <c r="C2472" s="98"/>
      <c r="D2472" s="98"/>
      <c r="E2472" s="98"/>
      <c r="F2472" s="99"/>
      <c r="G2472" s="100"/>
      <c r="H2472" s="100"/>
    </row>
    <row r="2473" customHeight="1" spans="2:8">
      <c r="B2473" s="98"/>
      <c r="C2473" s="98"/>
      <c r="D2473" s="98"/>
      <c r="E2473" s="98"/>
      <c r="F2473" s="99"/>
      <c r="G2473" s="100"/>
      <c r="H2473" s="100"/>
    </row>
    <row r="2474" customHeight="1" spans="2:8">
      <c r="B2474" s="98"/>
      <c r="C2474" s="98"/>
      <c r="D2474" s="98"/>
      <c r="E2474" s="98"/>
      <c r="F2474" s="99"/>
      <c r="G2474" s="100"/>
      <c r="H2474" s="100"/>
    </row>
    <row r="2475" customHeight="1" spans="2:8">
      <c r="B2475" s="98"/>
      <c r="C2475" s="98"/>
      <c r="D2475" s="98"/>
      <c r="E2475" s="98"/>
      <c r="F2475" s="99"/>
      <c r="G2475" s="100"/>
      <c r="H2475" s="100"/>
    </row>
    <row r="2476" customHeight="1" spans="2:8">
      <c r="B2476" s="98"/>
      <c r="C2476" s="98"/>
      <c r="D2476" s="98"/>
      <c r="E2476" s="98"/>
      <c r="F2476" s="99"/>
      <c r="G2476" s="100"/>
      <c r="H2476" s="100"/>
    </row>
    <row r="2477" customHeight="1" spans="2:8">
      <c r="B2477" s="98"/>
      <c r="C2477" s="98"/>
      <c r="D2477" s="98"/>
      <c r="E2477" s="98"/>
      <c r="F2477" s="99"/>
      <c r="G2477" s="100"/>
      <c r="H2477" s="100"/>
    </row>
    <row r="2478" customHeight="1" spans="2:8">
      <c r="B2478" s="98"/>
      <c r="C2478" s="98"/>
      <c r="D2478" s="98"/>
      <c r="E2478" s="98"/>
      <c r="F2478" s="99"/>
      <c r="G2478" s="100"/>
      <c r="H2478" s="100"/>
    </row>
    <row r="2479" customHeight="1" spans="2:8">
      <c r="B2479" s="98"/>
      <c r="C2479" s="98"/>
      <c r="D2479" s="98"/>
      <c r="E2479" s="98"/>
      <c r="F2479" s="99"/>
      <c r="G2479" s="100"/>
      <c r="H2479" s="100"/>
    </row>
    <row r="2480" customHeight="1" spans="2:8">
      <c r="B2480" s="98"/>
      <c r="C2480" s="98"/>
      <c r="D2480" s="98"/>
      <c r="E2480" s="98"/>
      <c r="F2480" s="99"/>
      <c r="G2480" s="100"/>
      <c r="H2480" s="100"/>
    </row>
    <row r="2481" customHeight="1" spans="2:8">
      <c r="B2481" s="98"/>
      <c r="C2481" s="98"/>
      <c r="D2481" s="98"/>
      <c r="E2481" s="98"/>
      <c r="F2481" s="99"/>
      <c r="G2481" s="100"/>
      <c r="H2481" s="100"/>
    </row>
    <row r="2482" customHeight="1" spans="2:8">
      <c r="B2482" s="98"/>
      <c r="C2482" s="98"/>
      <c r="D2482" s="98"/>
      <c r="E2482" s="98"/>
      <c r="F2482" s="99"/>
      <c r="G2482" s="100"/>
      <c r="H2482" s="100"/>
    </row>
    <row r="2483" customHeight="1" spans="2:8">
      <c r="B2483" s="98"/>
      <c r="C2483" s="98"/>
      <c r="D2483" s="98"/>
      <c r="E2483" s="98"/>
      <c r="F2483" s="99"/>
      <c r="G2483" s="100"/>
      <c r="H2483" s="100"/>
    </row>
    <row r="2484" customHeight="1" spans="2:8">
      <c r="B2484" s="98"/>
      <c r="C2484" s="98"/>
      <c r="D2484" s="98"/>
      <c r="E2484" s="98"/>
      <c r="F2484" s="99"/>
      <c r="G2484" s="100"/>
      <c r="H2484" s="100"/>
    </row>
    <row r="2485" customHeight="1" spans="2:8">
      <c r="B2485" s="98"/>
      <c r="C2485" s="98"/>
      <c r="D2485" s="98"/>
      <c r="E2485" s="98"/>
      <c r="F2485" s="99"/>
      <c r="G2485" s="100"/>
      <c r="H2485" s="100"/>
    </row>
    <row r="2486" customHeight="1" spans="2:8">
      <c r="B2486" s="98"/>
      <c r="C2486" s="98"/>
      <c r="D2486" s="98"/>
      <c r="E2486" s="98"/>
      <c r="F2486" s="99"/>
      <c r="G2486" s="100"/>
      <c r="H2486" s="100"/>
    </row>
    <row r="2487" customHeight="1" spans="2:8">
      <c r="B2487" s="98"/>
      <c r="C2487" s="98"/>
      <c r="D2487" s="98"/>
      <c r="E2487" s="98"/>
      <c r="F2487" s="99"/>
      <c r="G2487" s="100"/>
      <c r="H2487" s="100"/>
    </row>
    <row r="2488" customHeight="1" spans="2:8">
      <c r="B2488" s="98"/>
      <c r="C2488" s="98"/>
      <c r="D2488" s="98"/>
      <c r="E2488" s="98"/>
      <c r="F2488" s="99"/>
      <c r="G2488" s="100"/>
      <c r="H2488" s="100"/>
    </row>
    <row r="2489" customHeight="1" spans="2:8">
      <c r="B2489" s="98"/>
      <c r="C2489" s="98"/>
      <c r="D2489" s="98"/>
      <c r="E2489" s="98"/>
      <c r="F2489" s="99"/>
      <c r="G2489" s="100"/>
      <c r="H2489" s="100"/>
    </row>
    <row r="2490" customHeight="1" spans="2:8">
      <c r="B2490" s="98"/>
      <c r="C2490" s="98"/>
      <c r="D2490" s="98"/>
      <c r="E2490" s="98"/>
      <c r="F2490" s="99"/>
      <c r="G2490" s="100"/>
      <c r="H2490" s="100"/>
    </row>
    <row r="2491" customHeight="1" spans="2:8">
      <c r="B2491" s="98"/>
      <c r="C2491" s="98"/>
      <c r="D2491" s="98"/>
      <c r="E2491" s="98"/>
      <c r="F2491" s="99"/>
      <c r="G2491" s="100"/>
      <c r="H2491" s="100"/>
    </row>
    <row r="2492" customHeight="1" spans="2:8">
      <c r="B2492" s="98"/>
      <c r="C2492" s="98"/>
      <c r="D2492" s="98"/>
      <c r="E2492" s="98"/>
      <c r="F2492" s="99"/>
      <c r="G2492" s="100"/>
      <c r="H2492" s="100"/>
    </row>
    <row r="2493" customHeight="1" spans="2:8">
      <c r="B2493" s="98"/>
      <c r="C2493" s="98"/>
      <c r="D2493" s="98"/>
      <c r="E2493" s="98"/>
      <c r="F2493" s="99"/>
      <c r="G2493" s="100"/>
      <c r="H2493" s="100"/>
    </row>
    <row r="2494" customHeight="1" spans="2:8">
      <c r="B2494" s="98"/>
      <c r="C2494" s="98"/>
      <c r="D2494" s="98"/>
      <c r="E2494" s="98"/>
      <c r="F2494" s="99"/>
      <c r="G2494" s="100"/>
      <c r="H2494" s="100"/>
    </row>
    <row r="2495" customHeight="1" spans="2:8">
      <c r="B2495" s="98"/>
      <c r="C2495" s="98"/>
      <c r="D2495" s="98"/>
      <c r="E2495" s="98"/>
      <c r="F2495" s="99"/>
      <c r="G2495" s="100"/>
      <c r="H2495" s="100"/>
    </row>
    <row r="2496" customHeight="1" spans="2:8">
      <c r="B2496" s="98"/>
      <c r="C2496" s="98"/>
      <c r="D2496" s="98"/>
      <c r="E2496" s="98"/>
      <c r="F2496" s="99"/>
      <c r="G2496" s="100"/>
      <c r="H2496" s="100"/>
    </row>
    <row r="2497" customHeight="1" spans="2:8">
      <c r="B2497" s="98"/>
      <c r="C2497" s="98"/>
      <c r="D2497" s="98"/>
      <c r="E2497" s="98"/>
      <c r="F2497" s="99"/>
      <c r="G2497" s="100"/>
      <c r="H2497" s="100"/>
    </row>
    <row r="2498" customHeight="1" spans="2:8">
      <c r="B2498" s="98"/>
      <c r="C2498" s="98"/>
      <c r="D2498" s="98"/>
      <c r="E2498" s="98"/>
      <c r="F2498" s="99"/>
      <c r="G2498" s="100"/>
      <c r="H2498" s="100"/>
    </row>
    <row r="2499" customHeight="1" spans="2:8">
      <c r="B2499" s="98"/>
      <c r="C2499" s="98"/>
      <c r="D2499" s="98"/>
      <c r="E2499" s="98"/>
      <c r="F2499" s="99"/>
      <c r="G2499" s="100"/>
      <c r="H2499" s="100"/>
    </row>
    <row r="2500" customHeight="1" spans="2:8">
      <c r="B2500" s="98"/>
      <c r="C2500" s="98"/>
      <c r="D2500" s="98"/>
      <c r="E2500" s="98"/>
      <c r="F2500" s="99"/>
      <c r="G2500" s="100"/>
      <c r="H2500" s="100"/>
    </row>
    <row r="2501" customHeight="1" spans="2:8">
      <c r="B2501" s="98"/>
      <c r="C2501" s="98"/>
      <c r="D2501" s="98"/>
      <c r="E2501" s="98"/>
      <c r="F2501" s="99"/>
      <c r="G2501" s="100"/>
      <c r="H2501" s="100"/>
    </row>
    <row r="2502" customHeight="1" spans="2:8">
      <c r="B2502" s="98"/>
      <c r="C2502" s="98"/>
      <c r="D2502" s="98"/>
      <c r="E2502" s="98"/>
      <c r="F2502" s="99"/>
      <c r="G2502" s="100"/>
      <c r="H2502" s="100"/>
    </row>
    <row r="2503" customHeight="1" spans="2:8">
      <c r="B2503" s="98"/>
      <c r="C2503" s="98"/>
      <c r="D2503" s="98"/>
      <c r="E2503" s="98"/>
      <c r="F2503" s="99"/>
      <c r="G2503" s="100"/>
      <c r="H2503" s="100"/>
    </row>
    <row r="2504" customHeight="1" spans="2:8">
      <c r="B2504" s="98"/>
      <c r="C2504" s="98"/>
      <c r="D2504" s="98"/>
      <c r="E2504" s="98"/>
      <c r="F2504" s="99"/>
      <c r="G2504" s="100"/>
      <c r="H2504" s="100"/>
    </row>
    <row r="2505" customHeight="1" spans="2:8">
      <c r="B2505" s="98"/>
      <c r="C2505" s="98"/>
      <c r="D2505" s="98"/>
      <c r="E2505" s="98"/>
      <c r="F2505" s="99"/>
      <c r="G2505" s="100"/>
      <c r="H2505" s="100"/>
    </row>
    <row r="2506" customHeight="1" spans="2:8">
      <c r="B2506" s="98"/>
      <c r="C2506" s="98"/>
      <c r="D2506" s="98"/>
      <c r="E2506" s="98"/>
      <c r="F2506" s="99"/>
      <c r="G2506" s="100"/>
      <c r="H2506" s="100"/>
    </row>
    <row r="2507" customHeight="1" spans="2:8">
      <c r="B2507" s="98"/>
      <c r="C2507" s="98"/>
      <c r="D2507" s="98"/>
      <c r="E2507" s="98"/>
      <c r="F2507" s="99"/>
      <c r="G2507" s="100"/>
      <c r="H2507" s="100"/>
    </row>
    <row r="2508" customHeight="1" spans="2:8">
      <c r="B2508" s="98"/>
      <c r="C2508" s="98"/>
      <c r="D2508" s="98"/>
      <c r="E2508" s="98"/>
      <c r="F2508" s="99"/>
      <c r="G2508" s="100"/>
      <c r="H2508" s="100"/>
    </row>
    <row r="2509" customHeight="1" spans="2:8">
      <c r="B2509" s="98"/>
      <c r="C2509" s="98"/>
      <c r="D2509" s="98"/>
      <c r="E2509" s="98"/>
      <c r="F2509" s="99"/>
      <c r="G2509" s="100"/>
      <c r="H2509" s="100"/>
    </row>
    <row r="2510" customHeight="1" spans="2:8">
      <c r="B2510" s="98"/>
      <c r="C2510" s="98"/>
      <c r="D2510" s="98"/>
      <c r="E2510" s="98"/>
      <c r="F2510" s="99"/>
      <c r="G2510" s="100"/>
      <c r="H2510" s="100"/>
    </row>
    <row r="2511" customHeight="1" spans="2:8">
      <c r="B2511" s="98"/>
      <c r="C2511" s="98"/>
      <c r="D2511" s="98"/>
      <c r="E2511" s="98"/>
      <c r="F2511" s="99"/>
      <c r="G2511" s="100"/>
      <c r="H2511" s="100"/>
    </row>
    <row r="2512" customHeight="1" spans="2:8">
      <c r="B2512" s="98"/>
      <c r="C2512" s="98"/>
      <c r="D2512" s="98"/>
      <c r="E2512" s="98"/>
      <c r="F2512" s="99"/>
      <c r="G2512" s="100"/>
      <c r="H2512" s="100"/>
    </row>
    <row r="2513" customHeight="1" spans="2:8">
      <c r="B2513" s="98"/>
      <c r="C2513" s="98"/>
      <c r="D2513" s="98"/>
      <c r="E2513" s="98"/>
      <c r="F2513" s="99"/>
      <c r="G2513" s="100"/>
      <c r="H2513" s="100"/>
    </row>
    <row r="2514" customHeight="1" spans="2:8">
      <c r="B2514" s="98"/>
      <c r="C2514" s="98"/>
      <c r="D2514" s="98"/>
      <c r="E2514" s="98"/>
      <c r="F2514" s="99"/>
      <c r="G2514" s="100"/>
      <c r="H2514" s="100"/>
    </row>
    <row r="2515" customHeight="1" spans="2:8">
      <c r="B2515" s="98"/>
      <c r="C2515" s="98"/>
      <c r="D2515" s="98"/>
      <c r="E2515" s="98"/>
      <c r="F2515" s="99"/>
      <c r="G2515" s="100"/>
      <c r="H2515" s="100"/>
    </row>
    <row r="2516" customHeight="1" spans="2:8">
      <c r="B2516" s="98"/>
      <c r="C2516" s="98"/>
      <c r="D2516" s="98"/>
      <c r="E2516" s="98"/>
      <c r="F2516" s="99"/>
      <c r="G2516" s="100"/>
      <c r="H2516" s="100"/>
    </row>
    <row r="2517" customHeight="1" spans="2:8">
      <c r="B2517" s="98"/>
      <c r="C2517" s="98"/>
      <c r="D2517" s="98"/>
      <c r="E2517" s="98"/>
      <c r="F2517" s="99"/>
      <c r="G2517" s="100"/>
      <c r="H2517" s="100"/>
    </row>
    <row r="2518" customHeight="1" spans="2:8">
      <c r="B2518" s="98"/>
      <c r="C2518" s="98"/>
      <c r="D2518" s="98"/>
      <c r="E2518" s="98"/>
      <c r="F2518" s="99"/>
      <c r="G2518" s="100"/>
      <c r="H2518" s="100"/>
    </row>
    <row r="2519" customHeight="1" spans="2:8">
      <c r="B2519" s="98"/>
      <c r="C2519" s="98"/>
      <c r="D2519" s="98"/>
      <c r="E2519" s="98"/>
      <c r="F2519" s="99"/>
      <c r="G2519" s="100"/>
      <c r="H2519" s="100"/>
    </row>
    <row r="2520" customHeight="1" spans="2:8">
      <c r="B2520" s="98"/>
      <c r="C2520" s="98"/>
      <c r="D2520" s="98"/>
      <c r="E2520" s="98"/>
      <c r="F2520" s="99"/>
      <c r="G2520" s="100"/>
      <c r="H2520" s="100"/>
    </row>
    <row r="2521" customHeight="1" spans="2:8">
      <c r="B2521" s="98"/>
      <c r="C2521" s="98"/>
      <c r="D2521" s="98"/>
      <c r="E2521" s="98"/>
      <c r="F2521" s="99"/>
      <c r="G2521" s="100"/>
      <c r="H2521" s="100"/>
    </row>
    <row r="2522" customHeight="1" spans="2:8">
      <c r="B2522" s="98"/>
      <c r="C2522" s="98"/>
      <c r="D2522" s="98"/>
      <c r="E2522" s="98"/>
      <c r="F2522" s="99"/>
      <c r="G2522" s="100"/>
      <c r="H2522" s="100"/>
    </row>
    <row r="2523" customHeight="1" spans="2:8">
      <c r="B2523" s="98"/>
      <c r="C2523" s="98"/>
      <c r="D2523" s="98"/>
      <c r="E2523" s="98"/>
      <c r="F2523" s="99"/>
      <c r="G2523" s="100"/>
      <c r="H2523" s="100"/>
    </row>
    <row r="2524" customHeight="1" spans="2:8">
      <c r="B2524" s="98"/>
      <c r="C2524" s="98"/>
      <c r="D2524" s="98"/>
      <c r="E2524" s="98"/>
      <c r="F2524" s="99"/>
      <c r="G2524" s="100"/>
      <c r="H2524" s="100"/>
    </row>
    <row r="2525" customHeight="1" spans="2:8">
      <c r="B2525" s="98"/>
      <c r="C2525" s="98"/>
      <c r="D2525" s="98"/>
      <c r="E2525" s="98"/>
      <c r="F2525" s="99"/>
      <c r="G2525" s="100"/>
      <c r="H2525" s="100"/>
    </row>
    <row r="2526" customHeight="1" spans="2:8">
      <c r="B2526" s="98"/>
      <c r="C2526" s="98"/>
      <c r="D2526" s="98"/>
      <c r="E2526" s="98"/>
      <c r="F2526" s="99"/>
      <c r="G2526" s="100"/>
      <c r="H2526" s="100"/>
    </row>
    <row r="2527" customHeight="1" spans="2:8">
      <c r="B2527" s="98"/>
      <c r="C2527" s="98"/>
      <c r="D2527" s="98"/>
      <c r="E2527" s="98"/>
      <c r="F2527" s="99"/>
      <c r="G2527" s="100"/>
      <c r="H2527" s="100"/>
    </row>
    <row r="2528" customHeight="1" spans="2:8">
      <c r="B2528" s="98"/>
      <c r="C2528" s="98"/>
      <c r="D2528" s="98"/>
      <c r="E2528" s="98"/>
      <c r="F2528" s="99"/>
      <c r="G2528" s="100"/>
      <c r="H2528" s="100"/>
    </row>
    <row r="2529" customHeight="1" spans="2:8">
      <c r="B2529" s="98"/>
      <c r="C2529" s="98"/>
      <c r="D2529" s="98"/>
      <c r="E2529" s="98"/>
      <c r="F2529" s="99"/>
      <c r="G2529" s="100"/>
      <c r="H2529" s="100"/>
    </row>
    <row r="2530" customHeight="1" spans="2:8">
      <c r="B2530" s="98"/>
      <c r="C2530" s="98"/>
      <c r="D2530" s="98"/>
      <c r="E2530" s="98"/>
      <c r="F2530" s="99"/>
      <c r="G2530" s="100"/>
      <c r="H2530" s="100"/>
    </row>
    <row r="2531" customHeight="1" spans="2:8">
      <c r="B2531" s="98"/>
      <c r="C2531" s="98"/>
      <c r="D2531" s="98"/>
      <c r="E2531" s="98"/>
      <c r="F2531" s="99"/>
      <c r="G2531" s="100"/>
      <c r="H2531" s="100"/>
    </row>
    <row r="2532" customHeight="1" spans="2:8">
      <c r="B2532" s="98"/>
      <c r="C2532" s="98"/>
      <c r="D2532" s="98"/>
      <c r="E2532" s="98"/>
      <c r="F2532" s="99"/>
      <c r="G2532" s="100"/>
      <c r="H2532" s="100"/>
    </row>
    <row r="2533" customHeight="1" spans="2:8">
      <c r="B2533" s="98"/>
      <c r="C2533" s="98"/>
      <c r="D2533" s="98"/>
      <c r="E2533" s="98"/>
      <c r="F2533" s="99"/>
      <c r="G2533" s="100"/>
      <c r="H2533" s="100"/>
    </row>
    <row r="2534" customHeight="1" spans="2:8">
      <c r="B2534" s="98"/>
      <c r="C2534" s="98"/>
      <c r="D2534" s="98"/>
      <c r="E2534" s="98"/>
      <c r="F2534" s="99"/>
      <c r="G2534" s="100"/>
      <c r="H2534" s="100"/>
    </row>
    <row r="2535" customHeight="1" spans="2:8">
      <c r="B2535" s="98"/>
      <c r="C2535" s="98"/>
      <c r="D2535" s="98"/>
      <c r="E2535" s="98"/>
      <c r="F2535" s="99"/>
      <c r="G2535" s="100"/>
      <c r="H2535" s="100"/>
    </row>
    <row r="2536" customHeight="1" spans="2:8">
      <c r="B2536" s="98"/>
      <c r="C2536" s="98"/>
      <c r="D2536" s="98"/>
      <c r="E2536" s="98"/>
      <c r="F2536" s="99"/>
      <c r="G2536" s="100"/>
      <c r="H2536" s="100"/>
    </row>
    <row r="2537" customHeight="1" spans="2:8">
      <c r="B2537" s="98"/>
      <c r="C2537" s="98"/>
      <c r="D2537" s="98"/>
      <c r="E2537" s="98"/>
      <c r="F2537" s="99"/>
      <c r="G2537" s="100"/>
      <c r="H2537" s="100"/>
    </row>
    <row r="2538" customHeight="1" spans="2:8">
      <c r="B2538" s="98"/>
      <c r="C2538" s="98"/>
      <c r="D2538" s="98"/>
      <c r="E2538" s="98"/>
      <c r="F2538" s="99"/>
      <c r="G2538" s="100"/>
      <c r="H2538" s="100"/>
    </row>
    <row r="2539" customHeight="1" spans="2:8">
      <c r="B2539" s="98"/>
      <c r="C2539" s="98"/>
      <c r="D2539" s="98"/>
      <c r="E2539" s="98"/>
      <c r="F2539" s="99"/>
      <c r="G2539" s="100"/>
      <c r="H2539" s="100"/>
    </row>
    <row r="2540" customHeight="1" spans="2:8">
      <c r="B2540" s="98"/>
      <c r="C2540" s="98"/>
      <c r="D2540" s="98"/>
      <c r="E2540" s="98"/>
      <c r="F2540" s="99"/>
      <c r="G2540" s="100"/>
      <c r="H2540" s="100"/>
    </row>
    <row r="2541" customHeight="1" spans="2:8">
      <c r="B2541" s="98"/>
      <c r="C2541" s="98"/>
      <c r="D2541" s="98"/>
      <c r="E2541" s="98"/>
      <c r="F2541" s="99"/>
      <c r="G2541" s="100"/>
      <c r="H2541" s="100"/>
    </row>
    <row r="2542" customHeight="1" spans="2:8">
      <c r="B2542" s="98"/>
      <c r="C2542" s="98"/>
      <c r="D2542" s="98"/>
      <c r="E2542" s="98"/>
      <c r="F2542" s="99"/>
      <c r="G2542" s="100"/>
      <c r="H2542" s="100"/>
    </row>
    <row r="2543" customHeight="1" spans="2:8">
      <c r="B2543" s="98"/>
      <c r="C2543" s="98"/>
      <c r="D2543" s="98"/>
      <c r="E2543" s="98"/>
      <c r="F2543" s="99"/>
      <c r="G2543" s="100"/>
      <c r="H2543" s="100"/>
    </row>
    <row r="2544" customHeight="1" spans="2:8">
      <c r="B2544" s="98"/>
      <c r="C2544" s="98"/>
      <c r="D2544" s="98"/>
      <c r="E2544" s="98"/>
      <c r="F2544" s="99"/>
      <c r="G2544" s="100"/>
      <c r="H2544" s="100"/>
    </row>
    <row r="2545" customHeight="1" spans="2:8">
      <c r="B2545" s="98"/>
      <c r="C2545" s="98"/>
      <c r="D2545" s="98"/>
      <c r="E2545" s="98"/>
      <c r="F2545" s="99"/>
      <c r="G2545" s="100"/>
      <c r="H2545" s="100"/>
    </row>
    <row r="2546" customHeight="1" spans="2:8">
      <c r="B2546" s="98"/>
      <c r="C2546" s="98"/>
      <c r="D2546" s="98"/>
      <c r="E2546" s="98"/>
      <c r="F2546" s="99"/>
      <c r="G2546" s="100"/>
      <c r="H2546" s="100"/>
    </row>
    <row r="2547" customHeight="1" spans="2:8">
      <c r="B2547" s="98"/>
      <c r="C2547" s="98"/>
      <c r="D2547" s="98"/>
      <c r="E2547" s="98"/>
      <c r="F2547" s="99"/>
      <c r="G2547" s="100"/>
      <c r="H2547" s="100"/>
    </row>
    <row r="2548" customHeight="1" spans="2:8">
      <c r="B2548" s="98"/>
      <c r="C2548" s="98"/>
      <c r="D2548" s="98"/>
      <c r="E2548" s="98"/>
      <c r="F2548" s="99"/>
      <c r="G2548" s="100"/>
      <c r="H2548" s="100"/>
    </row>
    <row r="2549" customHeight="1" spans="2:8">
      <c r="B2549" s="98"/>
      <c r="C2549" s="98"/>
      <c r="D2549" s="98"/>
      <c r="E2549" s="98"/>
      <c r="F2549" s="99"/>
      <c r="G2549" s="100"/>
      <c r="H2549" s="100"/>
    </row>
    <row r="2550" customHeight="1" spans="2:8">
      <c r="B2550" s="98"/>
      <c r="C2550" s="98"/>
      <c r="D2550" s="98"/>
      <c r="E2550" s="98"/>
      <c r="F2550" s="99"/>
      <c r="G2550" s="100"/>
      <c r="H2550" s="100"/>
    </row>
    <row r="2551" customHeight="1" spans="2:8">
      <c r="B2551" s="98"/>
      <c r="C2551" s="98"/>
      <c r="D2551" s="98"/>
      <c r="E2551" s="98"/>
      <c r="F2551" s="99"/>
      <c r="G2551" s="100"/>
      <c r="H2551" s="100"/>
    </row>
    <row r="2552" customHeight="1" spans="2:8">
      <c r="B2552" s="98"/>
      <c r="C2552" s="98"/>
      <c r="D2552" s="98"/>
      <c r="E2552" s="98"/>
      <c r="F2552" s="99"/>
      <c r="G2552" s="100"/>
      <c r="H2552" s="100"/>
    </row>
    <row r="2553" customHeight="1" spans="2:8">
      <c r="B2553" s="98"/>
      <c r="C2553" s="98"/>
      <c r="D2553" s="98"/>
      <c r="E2553" s="98"/>
      <c r="F2553" s="99"/>
      <c r="G2553" s="100"/>
      <c r="H2553" s="100"/>
    </row>
    <row r="2554" customHeight="1" spans="2:8">
      <c r="B2554" s="98"/>
      <c r="C2554" s="98"/>
      <c r="D2554" s="98"/>
      <c r="E2554" s="98"/>
      <c r="F2554" s="99"/>
      <c r="G2554" s="100"/>
      <c r="H2554" s="100"/>
    </row>
    <row r="2555" customHeight="1" spans="2:8">
      <c r="B2555" s="98"/>
      <c r="C2555" s="98"/>
      <c r="D2555" s="98"/>
      <c r="E2555" s="98"/>
      <c r="F2555" s="99"/>
      <c r="G2555" s="100"/>
      <c r="H2555" s="100"/>
    </row>
    <row r="2556" customHeight="1" spans="2:8">
      <c r="B2556" s="98"/>
      <c r="C2556" s="98"/>
      <c r="D2556" s="98"/>
      <c r="E2556" s="98"/>
      <c r="F2556" s="99"/>
      <c r="G2556" s="100"/>
      <c r="H2556" s="100"/>
    </row>
    <row r="2557" customHeight="1" spans="2:8">
      <c r="B2557" s="98"/>
      <c r="C2557" s="98"/>
      <c r="D2557" s="98"/>
      <c r="E2557" s="98"/>
      <c r="F2557" s="99"/>
      <c r="G2557" s="100"/>
      <c r="H2557" s="100"/>
    </row>
    <row r="2558" customHeight="1" spans="2:8">
      <c r="B2558" s="98"/>
      <c r="C2558" s="98"/>
      <c r="D2558" s="98"/>
      <c r="E2558" s="98"/>
      <c r="F2558" s="99"/>
      <c r="G2558" s="100"/>
      <c r="H2558" s="100"/>
    </row>
    <row r="2559" customHeight="1" spans="2:8">
      <c r="B2559" s="98"/>
      <c r="C2559" s="98"/>
      <c r="D2559" s="98"/>
      <c r="E2559" s="98"/>
      <c r="F2559" s="99"/>
      <c r="G2559" s="100"/>
      <c r="H2559" s="100"/>
    </row>
    <row r="2560" customHeight="1" spans="2:8">
      <c r="B2560" s="98"/>
      <c r="C2560" s="98"/>
      <c r="D2560" s="98"/>
      <c r="E2560" s="98"/>
      <c r="F2560" s="99"/>
      <c r="G2560" s="100"/>
      <c r="H2560" s="100"/>
    </row>
    <row r="2561" customHeight="1" spans="2:8">
      <c r="B2561" s="98"/>
      <c r="C2561" s="98"/>
      <c r="D2561" s="98"/>
      <c r="E2561" s="98"/>
      <c r="F2561" s="99"/>
      <c r="G2561" s="100"/>
      <c r="H2561" s="100"/>
    </row>
    <row r="2562" customHeight="1" spans="2:8">
      <c r="B2562" s="98"/>
      <c r="C2562" s="98"/>
      <c r="D2562" s="98"/>
      <c r="E2562" s="98"/>
      <c r="F2562" s="99"/>
      <c r="G2562" s="100"/>
      <c r="H2562" s="100"/>
    </row>
    <row r="2563" customHeight="1" spans="2:8">
      <c r="B2563" s="98"/>
      <c r="C2563" s="98"/>
      <c r="D2563" s="98"/>
      <c r="E2563" s="98"/>
      <c r="F2563" s="99"/>
      <c r="G2563" s="100"/>
      <c r="H2563" s="100"/>
    </row>
    <row r="2564" customHeight="1" spans="2:8">
      <c r="B2564" s="98"/>
      <c r="C2564" s="98"/>
      <c r="D2564" s="98"/>
      <c r="E2564" s="98"/>
      <c r="F2564" s="99"/>
      <c r="G2564" s="100"/>
      <c r="H2564" s="100"/>
    </row>
    <row r="2565" customHeight="1" spans="2:8">
      <c r="B2565" s="98"/>
      <c r="C2565" s="98"/>
      <c r="D2565" s="98"/>
      <c r="E2565" s="98"/>
      <c r="F2565" s="99"/>
      <c r="G2565" s="100"/>
      <c r="H2565" s="100"/>
    </row>
    <row r="2566" customHeight="1" spans="2:8">
      <c r="B2566" s="98"/>
      <c r="C2566" s="98"/>
      <c r="D2566" s="98"/>
      <c r="E2566" s="98"/>
      <c r="F2566" s="99"/>
      <c r="G2566" s="100"/>
      <c r="H2566" s="100"/>
    </row>
    <row r="2567" customHeight="1" spans="2:8">
      <c r="B2567" s="98"/>
      <c r="C2567" s="98"/>
      <c r="D2567" s="98"/>
      <c r="E2567" s="98"/>
      <c r="F2567" s="99"/>
      <c r="G2567" s="100"/>
      <c r="H2567" s="100"/>
    </row>
    <row r="2568" customHeight="1" spans="2:8">
      <c r="B2568" s="98"/>
      <c r="C2568" s="98"/>
      <c r="D2568" s="98"/>
      <c r="E2568" s="98"/>
      <c r="F2568" s="99"/>
      <c r="G2568" s="100"/>
      <c r="H2568" s="100"/>
    </row>
    <row r="2569" customHeight="1" spans="2:8">
      <c r="B2569" s="98"/>
      <c r="C2569" s="98"/>
      <c r="D2569" s="98"/>
      <c r="E2569" s="98"/>
      <c r="F2569" s="99"/>
      <c r="G2569" s="100"/>
      <c r="H2569" s="100"/>
    </row>
    <row r="2570" customHeight="1" spans="2:8">
      <c r="B2570" s="98"/>
      <c r="C2570" s="98"/>
      <c r="D2570" s="98"/>
      <c r="E2570" s="98"/>
      <c r="F2570" s="99"/>
      <c r="G2570" s="100"/>
      <c r="H2570" s="100"/>
    </row>
    <row r="2571" customHeight="1" spans="2:8">
      <c r="B2571" s="98"/>
      <c r="C2571" s="98"/>
      <c r="D2571" s="98"/>
      <c r="E2571" s="98"/>
      <c r="F2571" s="99"/>
      <c r="G2571" s="100"/>
      <c r="H2571" s="100"/>
    </row>
    <row r="2572" customHeight="1" spans="2:8">
      <c r="B2572" s="98"/>
      <c r="C2572" s="98"/>
      <c r="D2572" s="98"/>
      <c r="E2572" s="98"/>
      <c r="F2572" s="99"/>
      <c r="G2572" s="100"/>
      <c r="H2572" s="100"/>
    </row>
    <row r="2573" customHeight="1" spans="2:8">
      <c r="B2573" s="98"/>
      <c r="C2573" s="98"/>
      <c r="D2573" s="98"/>
      <c r="E2573" s="98"/>
      <c r="F2573" s="99"/>
      <c r="G2573" s="100"/>
      <c r="H2573" s="100"/>
    </row>
    <row r="2574" customHeight="1" spans="2:8">
      <c r="B2574" s="98"/>
      <c r="C2574" s="98"/>
      <c r="D2574" s="98"/>
      <c r="E2574" s="98"/>
      <c r="F2574" s="99"/>
      <c r="G2574" s="100"/>
      <c r="H2574" s="100"/>
    </row>
    <row r="2575" customHeight="1" spans="2:8">
      <c r="B2575" s="98"/>
      <c r="C2575" s="98"/>
      <c r="D2575" s="98"/>
      <c r="E2575" s="98"/>
      <c r="F2575" s="99"/>
      <c r="G2575" s="100"/>
      <c r="H2575" s="100"/>
    </row>
    <row r="2576" customHeight="1" spans="2:8">
      <c r="B2576" s="98"/>
      <c r="C2576" s="98"/>
      <c r="D2576" s="98"/>
      <c r="E2576" s="98"/>
      <c r="F2576" s="99"/>
      <c r="G2576" s="100"/>
      <c r="H2576" s="100"/>
    </row>
    <row r="2577" customHeight="1" spans="2:8">
      <c r="B2577" s="98"/>
      <c r="C2577" s="98"/>
      <c r="D2577" s="98"/>
      <c r="E2577" s="98"/>
      <c r="F2577" s="99"/>
      <c r="G2577" s="100"/>
      <c r="H2577" s="100"/>
    </row>
    <row r="2578" customHeight="1" spans="2:8">
      <c r="B2578" s="98"/>
      <c r="C2578" s="98"/>
      <c r="D2578" s="98"/>
      <c r="E2578" s="98"/>
      <c r="F2578" s="99"/>
      <c r="G2578" s="100"/>
      <c r="H2578" s="100"/>
    </row>
    <row r="2579" customHeight="1" spans="2:8">
      <c r="B2579" s="98"/>
      <c r="C2579" s="98"/>
      <c r="D2579" s="98"/>
      <c r="E2579" s="98"/>
      <c r="F2579" s="99"/>
      <c r="G2579" s="100"/>
      <c r="H2579" s="100"/>
    </row>
    <row r="2580" customHeight="1" spans="2:8">
      <c r="B2580" s="98"/>
      <c r="C2580" s="98"/>
      <c r="D2580" s="98"/>
      <c r="E2580" s="98"/>
      <c r="F2580" s="99"/>
      <c r="G2580" s="100"/>
      <c r="H2580" s="100"/>
    </row>
    <row r="2581" customHeight="1" spans="2:8">
      <c r="B2581" s="98"/>
      <c r="C2581" s="98"/>
      <c r="D2581" s="98"/>
      <c r="E2581" s="98"/>
      <c r="F2581" s="99"/>
      <c r="G2581" s="100"/>
      <c r="H2581" s="100"/>
    </row>
    <row r="2582" customHeight="1" spans="2:8">
      <c r="B2582" s="98"/>
      <c r="C2582" s="98"/>
      <c r="D2582" s="98"/>
      <c r="E2582" s="98"/>
      <c r="F2582" s="99"/>
      <c r="G2582" s="100"/>
      <c r="H2582" s="100"/>
    </row>
    <row r="2583" customHeight="1" spans="2:8">
      <c r="B2583" s="98"/>
      <c r="C2583" s="98"/>
      <c r="D2583" s="98"/>
      <c r="E2583" s="98"/>
      <c r="F2583" s="99"/>
      <c r="G2583" s="100"/>
      <c r="H2583" s="100"/>
    </row>
    <row r="2584" customHeight="1" spans="2:8">
      <c r="B2584" s="98"/>
      <c r="C2584" s="98"/>
      <c r="D2584" s="98"/>
      <c r="E2584" s="98"/>
      <c r="F2584" s="99"/>
      <c r="G2584" s="100"/>
      <c r="H2584" s="100"/>
    </row>
    <row r="2585" customHeight="1" spans="2:8">
      <c r="B2585" s="98"/>
      <c r="C2585" s="98"/>
      <c r="D2585" s="98"/>
      <c r="E2585" s="98"/>
      <c r="F2585" s="99"/>
      <c r="G2585" s="100"/>
      <c r="H2585" s="100"/>
    </row>
    <row r="2586" customHeight="1" spans="2:8">
      <c r="B2586" s="98"/>
      <c r="C2586" s="98"/>
      <c r="D2586" s="98"/>
      <c r="E2586" s="98"/>
      <c r="F2586" s="99"/>
      <c r="G2586" s="100"/>
      <c r="H2586" s="100"/>
    </row>
    <row r="2587" customHeight="1" spans="2:8">
      <c r="B2587" s="98"/>
      <c r="C2587" s="98"/>
      <c r="D2587" s="98"/>
      <c r="E2587" s="98"/>
      <c r="F2587" s="99"/>
      <c r="G2587" s="100"/>
      <c r="H2587" s="100"/>
    </row>
    <row r="2588" customHeight="1" spans="2:8">
      <c r="B2588" s="98"/>
      <c r="C2588" s="98"/>
      <c r="D2588" s="98"/>
      <c r="E2588" s="98"/>
      <c r="F2588" s="99"/>
      <c r="G2588" s="100"/>
      <c r="H2588" s="100"/>
    </row>
    <row r="2589" customHeight="1" spans="2:8">
      <c r="B2589" s="98"/>
      <c r="C2589" s="98"/>
      <c r="D2589" s="98"/>
      <c r="E2589" s="98"/>
      <c r="F2589" s="99"/>
      <c r="G2589" s="100"/>
      <c r="H2589" s="100"/>
    </row>
    <row r="2590" customHeight="1" spans="2:8">
      <c r="B2590" s="98"/>
      <c r="C2590" s="98"/>
      <c r="D2590" s="98"/>
      <c r="E2590" s="98"/>
      <c r="F2590" s="99"/>
      <c r="G2590" s="100"/>
      <c r="H2590" s="100"/>
    </row>
    <row r="2591" customHeight="1" spans="2:8">
      <c r="B2591" s="98"/>
      <c r="C2591" s="98"/>
      <c r="D2591" s="98"/>
      <c r="E2591" s="98"/>
      <c r="F2591" s="99"/>
      <c r="G2591" s="100"/>
      <c r="H2591" s="100"/>
    </row>
    <row r="2592" customHeight="1" spans="2:8">
      <c r="B2592" s="98"/>
      <c r="C2592" s="98"/>
      <c r="D2592" s="98"/>
      <c r="E2592" s="98"/>
      <c r="F2592" s="99"/>
      <c r="G2592" s="100"/>
      <c r="H2592" s="100"/>
    </row>
    <row r="2593" customHeight="1" spans="2:8">
      <c r="B2593" s="98"/>
      <c r="C2593" s="98"/>
      <c r="D2593" s="98"/>
      <c r="E2593" s="98"/>
      <c r="F2593" s="99"/>
      <c r="G2593" s="100"/>
      <c r="H2593" s="100"/>
    </row>
    <row r="2594" customHeight="1" spans="2:8">
      <c r="B2594" s="98"/>
      <c r="C2594" s="98"/>
      <c r="D2594" s="98"/>
      <c r="E2594" s="98"/>
      <c r="F2594" s="99"/>
      <c r="G2594" s="100"/>
      <c r="H2594" s="100"/>
    </row>
    <row r="2595" customHeight="1" spans="2:8">
      <c r="B2595" s="98"/>
      <c r="C2595" s="98"/>
      <c r="D2595" s="98"/>
      <c r="E2595" s="98"/>
      <c r="F2595" s="99"/>
      <c r="G2595" s="100"/>
      <c r="H2595" s="100"/>
    </row>
    <row r="2596" customHeight="1" spans="2:8">
      <c r="B2596" s="98"/>
      <c r="C2596" s="98"/>
      <c r="D2596" s="98"/>
      <c r="E2596" s="98"/>
      <c r="F2596" s="99"/>
      <c r="G2596" s="100"/>
      <c r="H2596" s="100"/>
    </row>
    <row r="2597" customHeight="1" spans="2:8">
      <c r="B2597" s="98"/>
      <c r="C2597" s="98"/>
      <c r="D2597" s="98"/>
      <c r="E2597" s="98"/>
      <c r="F2597" s="99"/>
      <c r="G2597" s="100"/>
      <c r="H2597" s="100"/>
    </row>
    <row r="2598" customHeight="1" spans="2:8">
      <c r="B2598" s="98"/>
      <c r="C2598" s="98"/>
      <c r="D2598" s="98"/>
      <c r="E2598" s="98"/>
      <c r="F2598" s="99"/>
      <c r="G2598" s="100"/>
      <c r="H2598" s="100"/>
    </row>
    <row r="2599" customHeight="1" spans="2:8">
      <c r="B2599" s="98"/>
      <c r="C2599" s="98"/>
      <c r="D2599" s="98"/>
      <c r="E2599" s="98"/>
      <c r="F2599" s="99"/>
      <c r="G2599" s="100"/>
      <c r="H2599" s="100"/>
    </row>
    <row r="2600" customHeight="1" spans="2:8">
      <c r="B2600" s="98"/>
      <c r="C2600" s="98"/>
      <c r="D2600" s="98"/>
      <c r="E2600" s="98"/>
      <c r="F2600" s="99"/>
      <c r="G2600" s="100"/>
      <c r="H2600" s="100"/>
    </row>
    <row r="2601" customHeight="1" spans="2:8">
      <c r="B2601" s="98"/>
      <c r="C2601" s="98"/>
      <c r="D2601" s="98"/>
      <c r="E2601" s="98"/>
      <c r="F2601" s="99"/>
      <c r="G2601" s="100"/>
      <c r="H2601" s="100"/>
    </row>
    <row r="2602" customHeight="1" spans="2:8">
      <c r="B2602" s="98"/>
      <c r="C2602" s="98"/>
      <c r="D2602" s="98"/>
      <c r="E2602" s="98"/>
      <c r="F2602" s="99"/>
      <c r="G2602" s="100"/>
      <c r="H2602" s="100"/>
    </row>
    <row r="2603" customHeight="1" spans="2:8">
      <c r="B2603" s="98"/>
      <c r="C2603" s="98"/>
      <c r="D2603" s="98"/>
      <c r="E2603" s="98"/>
      <c r="F2603" s="99"/>
      <c r="G2603" s="100"/>
      <c r="H2603" s="100"/>
    </row>
    <row r="2604" customHeight="1" spans="2:8">
      <c r="B2604" s="98"/>
      <c r="C2604" s="98"/>
      <c r="D2604" s="98"/>
      <c r="E2604" s="98"/>
      <c r="F2604" s="99"/>
      <c r="G2604" s="100"/>
      <c r="H2604" s="100"/>
    </row>
    <row r="2605" customHeight="1" spans="2:8">
      <c r="B2605" s="98"/>
      <c r="C2605" s="98"/>
      <c r="D2605" s="98"/>
      <c r="E2605" s="98"/>
      <c r="F2605" s="99"/>
      <c r="G2605" s="100"/>
      <c r="H2605" s="100"/>
    </row>
    <row r="2606" customHeight="1" spans="2:8">
      <c r="B2606" s="98"/>
      <c r="C2606" s="98"/>
      <c r="D2606" s="98"/>
      <c r="E2606" s="98"/>
      <c r="F2606" s="99"/>
      <c r="G2606" s="100"/>
      <c r="H2606" s="100"/>
    </row>
    <row r="2607" customHeight="1" spans="2:8">
      <c r="B2607" s="98"/>
      <c r="C2607" s="98"/>
      <c r="D2607" s="98"/>
      <c r="E2607" s="98"/>
      <c r="F2607" s="99"/>
      <c r="G2607" s="100"/>
      <c r="H2607" s="100"/>
    </row>
    <row r="2608" customHeight="1" spans="2:8">
      <c r="B2608" s="98"/>
      <c r="C2608" s="98"/>
      <c r="D2608" s="98"/>
      <c r="E2608" s="98"/>
      <c r="F2608" s="99"/>
      <c r="G2608" s="100"/>
      <c r="H2608" s="100"/>
    </row>
    <row r="2609" customHeight="1" spans="2:8">
      <c r="B2609" s="98"/>
      <c r="C2609" s="98"/>
      <c r="D2609" s="98"/>
      <c r="E2609" s="98"/>
      <c r="F2609" s="99"/>
      <c r="G2609" s="100"/>
      <c r="H2609" s="100"/>
    </row>
    <row r="2610" customHeight="1" spans="2:8">
      <c r="B2610" s="98"/>
      <c r="C2610" s="98"/>
      <c r="D2610" s="98"/>
      <c r="E2610" s="98"/>
      <c r="F2610" s="99"/>
      <c r="G2610" s="100"/>
      <c r="H2610" s="100"/>
    </row>
    <row r="2611" customHeight="1" spans="2:8">
      <c r="B2611" s="98"/>
      <c r="C2611" s="98"/>
      <c r="D2611" s="98"/>
      <c r="E2611" s="98"/>
      <c r="F2611" s="99"/>
      <c r="G2611" s="100"/>
      <c r="H2611" s="100"/>
    </row>
    <row r="2612" customHeight="1" spans="2:8">
      <c r="B2612" s="98"/>
      <c r="C2612" s="98"/>
      <c r="D2612" s="98"/>
      <c r="E2612" s="98"/>
      <c r="F2612" s="99"/>
      <c r="G2612" s="100"/>
      <c r="H2612" s="100"/>
    </row>
    <row r="2613" customHeight="1" spans="2:8">
      <c r="B2613" s="98"/>
      <c r="C2613" s="98"/>
      <c r="D2613" s="98"/>
      <c r="E2613" s="98"/>
      <c r="F2613" s="99"/>
      <c r="G2613" s="100"/>
      <c r="H2613" s="100"/>
    </row>
    <row r="2614" customHeight="1" spans="2:8">
      <c r="B2614" s="98"/>
      <c r="C2614" s="98"/>
      <c r="D2614" s="98"/>
      <c r="E2614" s="98"/>
      <c r="F2614" s="99"/>
      <c r="G2614" s="100"/>
      <c r="H2614" s="100"/>
    </row>
    <row r="2615" customHeight="1" spans="2:8">
      <c r="B2615" s="98"/>
      <c r="C2615" s="98"/>
      <c r="D2615" s="98"/>
      <c r="E2615" s="98"/>
      <c r="F2615" s="99"/>
      <c r="G2615" s="100"/>
      <c r="H2615" s="100"/>
    </row>
    <row r="2616" customHeight="1" spans="2:8">
      <c r="B2616" s="98"/>
      <c r="C2616" s="98"/>
      <c r="D2616" s="98"/>
      <c r="E2616" s="98"/>
      <c r="F2616" s="99"/>
      <c r="G2616" s="100"/>
      <c r="H2616" s="100"/>
    </row>
    <row r="2617" customHeight="1" spans="2:8">
      <c r="B2617" s="98"/>
      <c r="C2617" s="98"/>
      <c r="D2617" s="98"/>
      <c r="E2617" s="98"/>
      <c r="F2617" s="99"/>
      <c r="G2617" s="100"/>
      <c r="H2617" s="100"/>
    </row>
    <row r="2618" customHeight="1" spans="2:8">
      <c r="B2618" s="98"/>
      <c r="C2618" s="98"/>
      <c r="D2618" s="98"/>
      <c r="E2618" s="98"/>
      <c r="F2618" s="99"/>
      <c r="G2618" s="100"/>
      <c r="H2618" s="100"/>
    </row>
    <row r="2619" customHeight="1" spans="2:8">
      <c r="B2619" s="98"/>
      <c r="C2619" s="98"/>
      <c r="D2619" s="98"/>
      <c r="E2619" s="98"/>
      <c r="F2619" s="99"/>
      <c r="G2619" s="100"/>
      <c r="H2619" s="100"/>
    </row>
    <row r="2620" customHeight="1" spans="2:8">
      <c r="B2620" s="98"/>
      <c r="C2620" s="98"/>
      <c r="D2620" s="98"/>
      <c r="E2620" s="98"/>
      <c r="F2620" s="99"/>
      <c r="G2620" s="100"/>
      <c r="H2620" s="100"/>
    </row>
    <row r="2621" customHeight="1" spans="2:8">
      <c r="B2621" s="98"/>
      <c r="C2621" s="98"/>
      <c r="D2621" s="98"/>
      <c r="E2621" s="98"/>
      <c r="F2621" s="99"/>
      <c r="G2621" s="100"/>
      <c r="H2621" s="100"/>
    </row>
    <row r="2622" customHeight="1" spans="2:8">
      <c r="B2622" s="98"/>
      <c r="C2622" s="98"/>
      <c r="D2622" s="98"/>
      <c r="E2622" s="98"/>
      <c r="F2622" s="99"/>
      <c r="G2622" s="100"/>
      <c r="H2622" s="100"/>
    </row>
    <row r="2623" customHeight="1" spans="2:8">
      <c r="B2623" s="98"/>
      <c r="C2623" s="98"/>
      <c r="D2623" s="98"/>
      <c r="E2623" s="98"/>
      <c r="F2623" s="99"/>
      <c r="G2623" s="100"/>
      <c r="H2623" s="100"/>
    </row>
    <row r="2624" customHeight="1" spans="2:8">
      <c r="B2624" s="98"/>
      <c r="C2624" s="98"/>
      <c r="D2624" s="98"/>
      <c r="E2624" s="98"/>
      <c r="F2624" s="99"/>
      <c r="G2624" s="100"/>
      <c r="H2624" s="100"/>
    </row>
    <row r="2625" customHeight="1" spans="2:8">
      <c r="B2625" s="98"/>
      <c r="C2625" s="98"/>
      <c r="D2625" s="98"/>
      <c r="E2625" s="98"/>
      <c r="F2625" s="99"/>
      <c r="G2625" s="100"/>
      <c r="H2625" s="100"/>
    </row>
    <row r="2626" customHeight="1" spans="2:8">
      <c r="B2626" s="98"/>
      <c r="C2626" s="98"/>
      <c r="D2626" s="98"/>
      <c r="E2626" s="98"/>
      <c r="F2626" s="99"/>
      <c r="G2626" s="100"/>
      <c r="H2626" s="100"/>
    </row>
    <row r="2627" customHeight="1" spans="2:8">
      <c r="B2627" s="98"/>
      <c r="C2627" s="98"/>
      <c r="D2627" s="98"/>
      <c r="E2627" s="98"/>
      <c r="F2627" s="99"/>
      <c r="G2627" s="100"/>
      <c r="H2627" s="100"/>
    </row>
    <row r="2628" customHeight="1" spans="2:8">
      <c r="B2628" s="98"/>
      <c r="C2628" s="98"/>
      <c r="D2628" s="98"/>
      <c r="E2628" s="98"/>
      <c r="F2628" s="99"/>
      <c r="G2628" s="100"/>
      <c r="H2628" s="100"/>
    </row>
    <row r="2629" customHeight="1" spans="2:8">
      <c r="B2629" s="98"/>
      <c r="C2629" s="98"/>
      <c r="D2629" s="98"/>
      <c r="E2629" s="98"/>
      <c r="F2629" s="99"/>
      <c r="G2629" s="100"/>
      <c r="H2629" s="100"/>
    </row>
    <row r="2630" customHeight="1" spans="2:8">
      <c r="B2630" s="98"/>
      <c r="C2630" s="98"/>
      <c r="D2630" s="98"/>
      <c r="E2630" s="98"/>
      <c r="F2630" s="99"/>
      <c r="G2630" s="100"/>
      <c r="H2630" s="100"/>
    </row>
    <row r="2631" customHeight="1" spans="2:8">
      <c r="B2631" s="98"/>
      <c r="C2631" s="98"/>
      <c r="D2631" s="98"/>
      <c r="E2631" s="98"/>
      <c r="F2631" s="99"/>
      <c r="G2631" s="100"/>
      <c r="H2631" s="100"/>
    </row>
    <row r="2632" customHeight="1" spans="2:8">
      <c r="B2632" s="98"/>
      <c r="C2632" s="98"/>
      <c r="D2632" s="98"/>
      <c r="E2632" s="98"/>
      <c r="F2632" s="99"/>
      <c r="G2632" s="100"/>
      <c r="H2632" s="100"/>
    </row>
    <row r="2633" customHeight="1" spans="2:8">
      <c r="B2633" s="98"/>
      <c r="C2633" s="98"/>
      <c r="D2633" s="98"/>
      <c r="E2633" s="98"/>
      <c r="F2633" s="99"/>
      <c r="G2633" s="100"/>
      <c r="H2633" s="100"/>
    </row>
    <row r="2634" customHeight="1" spans="2:8">
      <c r="B2634" s="98"/>
      <c r="C2634" s="98"/>
      <c r="D2634" s="98"/>
      <c r="E2634" s="98"/>
      <c r="F2634" s="99"/>
      <c r="G2634" s="100"/>
      <c r="H2634" s="100"/>
    </row>
    <row r="2635" customHeight="1" spans="2:8">
      <c r="B2635" s="98"/>
      <c r="C2635" s="98"/>
      <c r="D2635" s="98"/>
      <c r="E2635" s="98"/>
      <c r="F2635" s="99"/>
      <c r="G2635" s="100"/>
      <c r="H2635" s="100"/>
    </row>
    <row r="2636" customHeight="1" spans="2:8">
      <c r="B2636" s="98"/>
      <c r="C2636" s="98"/>
      <c r="D2636" s="98"/>
      <c r="E2636" s="98"/>
      <c r="F2636" s="99"/>
      <c r="G2636" s="100"/>
      <c r="H2636" s="100"/>
    </row>
    <row r="2637" customHeight="1" spans="2:8">
      <c r="B2637" s="98"/>
      <c r="C2637" s="98"/>
      <c r="D2637" s="98"/>
      <c r="E2637" s="98"/>
      <c r="F2637" s="99"/>
      <c r="G2637" s="100"/>
      <c r="H2637" s="100"/>
    </row>
    <row r="2638" customHeight="1" spans="2:8">
      <c r="B2638" s="98"/>
      <c r="C2638" s="98"/>
      <c r="D2638" s="98"/>
      <c r="E2638" s="98"/>
      <c r="F2638" s="99"/>
      <c r="G2638" s="100"/>
      <c r="H2638" s="100"/>
    </row>
    <row r="2639" customHeight="1" spans="2:8">
      <c r="B2639" s="98"/>
      <c r="C2639" s="98"/>
      <c r="D2639" s="98"/>
      <c r="E2639" s="98"/>
      <c r="F2639" s="99"/>
      <c r="G2639" s="100"/>
      <c r="H2639" s="100"/>
    </row>
    <row r="2640" customHeight="1" spans="2:8">
      <c r="B2640" s="98"/>
      <c r="C2640" s="98"/>
      <c r="D2640" s="98"/>
      <c r="E2640" s="98"/>
      <c r="F2640" s="99"/>
      <c r="G2640" s="100"/>
      <c r="H2640" s="100"/>
    </row>
    <row r="2641" customHeight="1" spans="2:8">
      <c r="B2641" s="98"/>
      <c r="C2641" s="98"/>
      <c r="D2641" s="98"/>
      <c r="E2641" s="98"/>
      <c r="F2641" s="99"/>
      <c r="G2641" s="100"/>
      <c r="H2641" s="100"/>
    </row>
    <row r="2642" customHeight="1" spans="2:8">
      <c r="B2642" s="98"/>
      <c r="C2642" s="98"/>
      <c r="D2642" s="98"/>
      <c r="E2642" s="98"/>
      <c r="F2642" s="99"/>
      <c r="G2642" s="100"/>
      <c r="H2642" s="100"/>
    </row>
    <row r="2643" customHeight="1" spans="2:8">
      <c r="B2643" s="98"/>
      <c r="C2643" s="98"/>
      <c r="D2643" s="98"/>
      <c r="E2643" s="98"/>
      <c r="F2643" s="99"/>
      <c r="G2643" s="100"/>
      <c r="H2643" s="100"/>
    </row>
    <row r="2644" customHeight="1" spans="2:8">
      <c r="B2644" s="98"/>
      <c r="C2644" s="98"/>
      <c r="D2644" s="98"/>
      <c r="E2644" s="98"/>
      <c r="F2644" s="99"/>
      <c r="G2644" s="100"/>
      <c r="H2644" s="100"/>
    </row>
    <row r="2645" customHeight="1" spans="2:8">
      <c r="B2645" s="98"/>
      <c r="C2645" s="98"/>
      <c r="D2645" s="98"/>
      <c r="E2645" s="98"/>
      <c r="F2645" s="99"/>
      <c r="G2645" s="100"/>
      <c r="H2645" s="100"/>
    </row>
    <row r="2646" customHeight="1" spans="2:8">
      <c r="B2646" s="98"/>
      <c r="C2646" s="98"/>
      <c r="D2646" s="98"/>
      <c r="E2646" s="98"/>
      <c r="F2646" s="99"/>
      <c r="G2646" s="100"/>
      <c r="H2646" s="100"/>
    </row>
    <row r="2647" customHeight="1" spans="2:8">
      <c r="B2647" s="98"/>
      <c r="C2647" s="98"/>
      <c r="D2647" s="98"/>
      <c r="E2647" s="98"/>
      <c r="F2647" s="99"/>
      <c r="G2647" s="100"/>
      <c r="H2647" s="100"/>
    </row>
    <row r="2648" customHeight="1" spans="2:8">
      <c r="B2648" s="98"/>
      <c r="C2648" s="98"/>
      <c r="D2648" s="98"/>
      <c r="E2648" s="98"/>
      <c r="F2648" s="99"/>
      <c r="G2648" s="100"/>
      <c r="H2648" s="100"/>
    </row>
    <row r="2649" customHeight="1" spans="2:8">
      <c r="B2649" s="98"/>
      <c r="C2649" s="98"/>
      <c r="D2649" s="98"/>
      <c r="E2649" s="98"/>
      <c r="F2649" s="99"/>
      <c r="G2649" s="100"/>
      <c r="H2649" s="100"/>
    </row>
    <row r="2650" customHeight="1" spans="2:8">
      <c r="B2650" s="98"/>
      <c r="C2650" s="98"/>
      <c r="D2650" s="98"/>
      <c r="E2650" s="98"/>
      <c r="F2650" s="99"/>
      <c r="G2650" s="100"/>
      <c r="H2650" s="100"/>
    </row>
    <row r="2651" customHeight="1" spans="2:8">
      <c r="B2651" s="98"/>
      <c r="C2651" s="98"/>
      <c r="D2651" s="98"/>
      <c r="E2651" s="98"/>
      <c r="F2651" s="99"/>
      <c r="G2651" s="100"/>
      <c r="H2651" s="100"/>
    </row>
    <row r="2652" customHeight="1" spans="2:8">
      <c r="B2652" s="98"/>
      <c r="C2652" s="98"/>
      <c r="D2652" s="98"/>
      <c r="E2652" s="98"/>
      <c r="F2652" s="99"/>
      <c r="G2652" s="100"/>
      <c r="H2652" s="100"/>
    </row>
    <row r="2653" customHeight="1" spans="2:8">
      <c r="B2653" s="98"/>
      <c r="C2653" s="98"/>
      <c r="D2653" s="98"/>
      <c r="E2653" s="98"/>
      <c r="F2653" s="99"/>
      <c r="G2653" s="100"/>
      <c r="H2653" s="100"/>
    </row>
    <row r="2654" customHeight="1" spans="2:8">
      <c r="B2654" s="98"/>
      <c r="C2654" s="98"/>
      <c r="D2654" s="98"/>
      <c r="E2654" s="98"/>
      <c r="F2654" s="99"/>
      <c r="G2654" s="100"/>
      <c r="H2654" s="100"/>
    </row>
    <row r="2655" customHeight="1" spans="2:8">
      <c r="B2655" s="98"/>
      <c r="C2655" s="98"/>
      <c r="D2655" s="98"/>
      <c r="E2655" s="98"/>
      <c r="F2655" s="99"/>
      <c r="G2655" s="100"/>
      <c r="H2655" s="100"/>
    </row>
    <row r="2656" customHeight="1" spans="2:8">
      <c r="B2656" s="98"/>
      <c r="C2656" s="98"/>
      <c r="D2656" s="98"/>
      <c r="E2656" s="98"/>
      <c r="F2656" s="99"/>
      <c r="G2656" s="100"/>
      <c r="H2656" s="100"/>
    </row>
    <row r="2657" customHeight="1" spans="2:8">
      <c r="B2657" s="98"/>
      <c r="C2657" s="98"/>
      <c r="D2657" s="98"/>
      <c r="E2657" s="98"/>
      <c r="F2657" s="99"/>
      <c r="G2657" s="100"/>
      <c r="H2657" s="100"/>
    </row>
    <row r="2658" customHeight="1" spans="2:8">
      <c r="B2658" s="98"/>
      <c r="C2658" s="98"/>
      <c r="D2658" s="98"/>
      <c r="E2658" s="98"/>
      <c r="F2658" s="99"/>
      <c r="G2658" s="100"/>
      <c r="H2658" s="100"/>
    </row>
    <row r="2659" customHeight="1" spans="2:8">
      <c r="B2659" s="98"/>
      <c r="C2659" s="98"/>
      <c r="D2659" s="98"/>
      <c r="E2659" s="98"/>
      <c r="F2659" s="99"/>
      <c r="G2659" s="100"/>
      <c r="H2659" s="100"/>
    </row>
    <row r="2660" customHeight="1" spans="2:8">
      <c r="B2660" s="98"/>
      <c r="C2660" s="98"/>
      <c r="D2660" s="98"/>
      <c r="E2660" s="98"/>
      <c r="F2660" s="99"/>
      <c r="G2660" s="100"/>
      <c r="H2660" s="100"/>
    </row>
    <row r="2661" customHeight="1" spans="2:8">
      <c r="B2661" s="98"/>
      <c r="C2661" s="98"/>
      <c r="D2661" s="98"/>
      <c r="E2661" s="98"/>
      <c r="F2661" s="99"/>
      <c r="G2661" s="100"/>
      <c r="H2661" s="100"/>
    </row>
    <row r="2662" customHeight="1" spans="2:8">
      <c r="B2662" s="98"/>
      <c r="C2662" s="98"/>
      <c r="D2662" s="98"/>
      <c r="E2662" s="98"/>
      <c r="F2662" s="99"/>
      <c r="G2662" s="100"/>
      <c r="H2662" s="100"/>
    </row>
    <row r="2663" customHeight="1" spans="2:8">
      <c r="B2663" s="98"/>
      <c r="C2663" s="98"/>
      <c r="D2663" s="98"/>
      <c r="E2663" s="98"/>
      <c r="F2663" s="99"/>
      <c r="G2663" s="100"/>
      <c r="H2663" s="100"/>
    </row>
    <row r="2664" customHeight="1" spans="2:8">
      <c r="B2664" s="98"/>
      <c r="C2664" s="98"/>
      <c r="D2664" s="98"/>
      <c r="E2664" s="98"/>
      <c r="F2664" s="99"/>
      <c r="G2664" s="100"/>
      <c r="H2664" s="100"/>
    </row>
    <row r="2665" customHeight="1" spans="2:8">
      <c r="B2665" s="98"/>
      <c r="C2665" s="98"/>
      <c r="D2665" s="98"/>
      <c r="E2665" s="98"/>
      <c r="F2665" s="99"/>
      <c r="G2665" s="100"/>
      <c r="H2665" s="100"/>
    </row>
    <row r="2666" customHeight="1" spans="2:8">
      <c r="B2666" s="98"/>
      <c r="C2666" s="98"/>
      <c r="D2666" s="98"/>
      <c r="E2666" s="98"/>
      <c r="F2666" s="99"/>
      <c r="G2666" s="100"/>
      <c r="H2666" s="100"/>
    </row>
    <row r="2667" customHeight="1" spans="2:8">
      <c r="B2667" s="98"/>
      <c r="C2667" s="98"/>
      <c r="D2667" s="98"/>
      <c r="E2667" s="98"/>
      <c r="F2667" s="99"/>
      <c r="G2667" s="100"/>
      <c r="H2667" s="100"/>
    </row>
    <row r="2668" customHeight="1" spans="2:8">
      <c r="B2668" s="98"/>
      <c r="C2668" s="98"/>
      <c r="D2668" s="98"/>
      <c r="E2668" s="98"/>
      <c r="F2668" s="99"/>
      <c r="G2668" s="100"/>
      <c r="H2668" s="100"/>
    </row>
    <row r="2669" customHeight="1" spans="2:8">
      <c r="B2669" s="98"/>
      <c r="C2669" s="98"/>
      <c r="D2669" s="98"/>
      <c r="E2669" s="98"/>
      <c r="F2669" s="99"/>
      <c r="G2669" s="100"/>
      <c r="H2669" s="100"/>
    </row>
    <row r="2670" customHeight="1" spans="2:8">
      <c r="B2670" s="98"/>
      <c r="C2670" s="98"/>
      <c r="D2670" s="98"/>
      <c r="E2670" s="98"/>
      <c r="F2670" s="99"/>
      <c r="G2670" s="100"/>
      <c r="H2670" s="100"/>
    </row>
    <row r="2671" customHeight="1" spans="2:8">
      <c r="B2671" s="98"/>
      <c r="C2671" s="98"/>
      <c r="D2671" s="98"/>
      <c r="E2671" s="98"/>
      <c r="F2671" s="99"/>
      <c r="G2671" s="100"/>
      <c r="H2671" s="100"/>
    </row>
    <row r="2672" customHeight="1" spans="2:8">
      <c r="B2672" s="98"/>
      <c r="C2672" s="98"/>
      <c r="D2672" s="98"/>
      <c r="E2672" s="98"/>
      <c r="F2672" s="99"/>
      <c r="G2672" s="100"/>
      <c r="H2672" s="100"/>
    </row>
    <row r="2673" customHeight="1" spans="2:8">
      <c r="B2673" s="98"/>
      <c r="C2673" s="98"/>
      <c r="D2673" s="98"/>
      <c r="E2673" s="98"/>
      <c r="F2673" s="99"/>
      <c r="G2673" s="100"/>
      <c r="H2673" s="100"/>
    </row>
    <row r="2674" customHeight="1" spans="2:8">
      <c r="B2674" s="98"/>
      <c r="C2674" s="98"/>
      <c r="D2674" s="98"/>
      <c r="E2674" s="98"/>
      <c r="F2674" s="99"/>
      <c r="G2674" s="100"/>
      <c r="H2674" s="100"/>
    </row>
    <row r="2675" customHeight="1" spans="2:8">
      <c r="B2675" s="98"/>
      <c r="C2675" s="98"/>
      <c r="D2675" s="98"/>
      <c r="E2675" s="98"/>
      <c r="F2675" s="99"/>
      <c r="G2675" s="100"/>
      <c r="H2675" s="100"/>
    </row>
    <row r="2676" customHeight="1" spans="2:8">
      <c r="B2676" s="98"/>
      <c r="C2676" s="98"/>
      <c r="D2676" s="98"/>
      <c r="E2676" s="98"/>
      <c r="F2676" s="99"/>
      <c r="G2676" s="100"/>
      <c r="H2676" s="100"/>
    </row>
    <row r="2677" customHeight="1" spans="2:8">
      <c r="B2677" s="98"/>
      <c r="C2677" s="98"/>
      <c r="D2677" s="98"/>
      <c r="E2677" s="98"/>
      <c r="F2677" s="99"/>
      <c r="G2677" s="100"/>
      <c r="H2677" s="100"/>
    </row>
    <row r="2678" customHeight="1" spans="2:8">
      <c r="B2678" s="98"/>
      <c r="C2678" s="98"/>
      <c r="D2678" s="98"/>
      <c r="E2678" s="98"/>
      <c r="F2678" s="99"/>
      <c r="G2678" s="100"/>
      <c r="H2678" s="100"/>
    </row>
    <row r="2679" customHeight="1" spans="2:8">
      <c r="B2679" s="98"/>
      <c r="C2679" s="98"/>
      <c r="D2679" s="98"/>
      <c r="E2679" s="98"/>
      <c r="F2679" s="99"/>
      <c r="G2679" s="100"/>
      <c r="H2679" s="100"/>
    </row>
    <row r="2680" customHeight="1" spans="2:8">
      <c r="B2680" s="98"/>
      <c r="C2680" s="98"/>
      <c r="D2680" s="98"/>
      <c r="E2680" s="98"/>
      <c r="F2680" s="99"/>
      <c r="G2680" s="100"/>
      <c r="H2680" s="100"/>
    </row>
    <row r="2681" customHeight="1" spans="2:8">
      <c r="B2681" s="98"/>
      <c r="C2681" s="98"/>
      <c r="D2681" s="98"/>
      <c r="E2681" s="98"/>
      <c r="F2681" s="99"/>
      <c r="G2681" s="100"/>
      <c r="H2681" s="100"/>
    </row>
    <row r="2682" customHeight="1" spans="2:8">
      <c r="B2682" s="98"/>
      <c r="C2682" s="98"/>
      <c r="D2682" s="98"/>
      <c r="E2682" s="98"/>
      <c r="F2682" s="99"/>
      <c r="G2682" s="100"/>
      <c r="H2682" s="100"/>
    </row>
    <row r="2683" customHeight="1" spans="2:8">
      <c r="B2683" s="98"/>
      <c r="C2683" s="98"/>
      <c r="D2683" s="98"/>
      <c r="E2683" s="98"/>
      <c r="F2683" s="99"/>
      <c r="G2683" s="100"/>
      <c r="H2683" s="100"/>
    </row>
    <row r="2684" customHeight="1" spans="2:8">
      <c r="B2684" s="98"/>
      <c r="C2684" s="98"/>
      <c r="D2684" s="98"/>
      <c r="E2684" s="98"/>
      <c r="F2684" s="99"/>
      <c r="G2684" s="100"/>
      <c r="H2684" s="100"/>
    </row>
    <row r="2685" customHeight="1" spans="2:8">
      <c r="B2685" s="98"/>
      <c r="C2685" s="98"/>
      <c r="D2685" s="98"/>
      <c r="E2685" s="98"/>
      <c r="F2685" s="99"/>
      <c r="G2685" s="100"/>
      <c r="H2685" s="100"/>
    </row>
    <row r="2686" customHeight="1" spans="2:8">
      <c r="B2686" s="98"/>
      <c r="C2686" s="98"/>
      <c r="D2686" s="98"/>
      <c r="E2686" s="98"/>
      <c r="F2686" s="99"/>
      <c r="G2686" s="100"/>
      <c r="H2686" s="100"/>
    </row>
    <row r="2687" customHeight="1" spans="2:8">
      <c r="B2687" s="98"/>
      <c r="C2687" s="98"/>
      <c r="D2687" s="98"/>
      <c r="E2687" s="98"/>
      <c r="F2687" s="99"/>
      <c r="G2687" s="100"/>
      <c r="H2687" s="100"/>
    </row>
    <row r="2688" customHeight="1" spans="2:8">
      <c r="B2688" s="98"/>
      <c r="C2688" s="98"/>
      <c r="D2688" s="98"/>
      <c r="E2688" s="98"/>
      <c r="F2688" s="99"/>
      <c r="G2688" s="100"/>
      <c r="H2688" s="100"/>
    </row>
    <row r="2689" customHeight="1" spans="2:8">
      <c r="B2689" s="98"/>
      <c r="C2689" s="98"/>
      <c r="D2689" s="98"/>
      <c r="E2689" s="98"/>
      <c r="F2689" s="99"/>
      <c r="G2689" s="100"/>
      <c r="H2689" s="100"/>
    </row>
    <row r="2690" customHeight="1" spans="2:8">
      <c r="B2690" s="98"/>
      <c r="C2690" s="98"/>
      <c r="D2690" s="98"/>
      <c r="E2690" s="98"/>
      <c r="F2690" s="99"/>
      <c r="G2690" s="100"/>
      <c r="H2690" s="100"/>
    </row>
    <row r="2691" customHeight="1" spans="2:8">
      <c r="B2691" s="98"/>
      <c r="C2691" s="98"/>
      <c r="D2691" s="98"/>
      <c r="E2691" s="98"/>
      <c r="F2691" s="99"/>
      <c r="G2691" s="100"/>
      <c r="H2691" s="100"/>
    </row>
    <row r="2692" customHeight="1" spans="2:8">
      <c r="B2692" s="98"/>
      <c r="C2692" s="98"/>
      <c r="D2692" s="98"/>
      <c r="E2692" s="98"/>
      <c r="F2692" s="99"/>
      <c r="G2692" s="100"/>
      <c r="H2692" s="100"/>
    </row>
    <row r="2693" customHeight="1" spans="2:8">
      <c r="B2693" s="98"/>
      <c r="C2693" s="98"/>
      <c r="D2693" s="98"/>
      <c r="E2693" s="98"/>
      <c r="F2693" s="99"/>
      <c r="G2693" s="100"/>
      <c r="H2693" s="100"/>
    </row>
    <row r="2694" customHeight="1" spans="2:8">
      <c r="B2694" s="98"/>
      <c r="C2694" s="98"/>
      <c r="D2694" s="98"/>
      <c r="E2694" s="98"/>
      <c r="F2694" s="99"/>
      <c r="G2694" s="100"/>
      <c r="H2694" s="100"/>
    </row>
    <row r="2695" customHeight="1" spans="2:8">
      <c r="B2695" s="98"/>
      <c r="C2695" s="98"/>
      <c r="D2695" s="98"/>
      <c r="E2695" s="98"/>
      <c r="F2695" s="99"/>
      <c r="G2695" s="100"/>
      <c r="H2695" s="100"/>
    </row>
    <row r="2696" customHeight="1" spans="2:8">
      <c r="B2696" s="98"/>
      <c r="C2696" s="98"/>
      <c r="D2696" s="98"/>
      <c r="E2696" s="98"/>
      <c r="F2696" s="99"/>
      <c r="G2696" s="100"/>
      <c r="H2696" s="100"/>
    </row>
    <row r="2697" customHeight="1" spans="2:8">
      <c r="B2697" s="98"/>
      <c r="C2697" s="98"/>
      <c r="D2697" s="98"/>
      <c r="E2697" s="98"/>
      <c r="F2697" s="99"/>
      <c r="G2697" s="100"/>
      <c r="H2697" s="100"/>
    </row>
    <row r="2698" customHeight="1" spans="2:8">
      <c r="B2698" s="98"/>
      <c r="C2698" s="98"/>
      <c r="D2698" s="98"/>
      <c r="E2698" s="98"/>
      <c r="F2698" s="99"/>
      <c r="G2698" s="100"/>
      <c r="H2698" s="100"/>
    </row>
    <row r="2699" customHeight="1" spans="2:8">
      <c r="B2699" s="98"/>
      <c r="C2699" s="98"/>
      <c r="D2699" s="98"/>
      <c r="E2699" s="98"/>
      <c r="F2699" s="99"/>
      <c r="G2699" s="100"/>
      <c r="H2699" s="100"/>
    </row>
    <row r="2700" customHeight="1" spans="2:8">
      <c r="B2700" s="98"/>
      <c r="C2700" s="98"/>
      <c r="D2700" s="98"/>
      <c r="E2700" s="98"/>
      <c r="F2700" s="99"/>
      <c r="G2700" s="100"/>
      <c r="H2700" s="100"/>
    </row>
    <row r="2701" customHeight="1" spans="2:8">
      <c r="B2701" s="98"/>
      <c r="C2701" s="98"/>
      <c r="D2701" s="98"/>
      <c r="E2701" s="98"/>
      <c r="F2701" s="99"/>
      <c r="G2701" s="100"/>
      <c r="H2701" s="100"/>
    </row>
    <row r="2702" customHeight="1" spans="2:8">
      <c r="B2702" s="98"/>
      <c r="C2702" s="98"/>
      <c r="D2702" s="98"/>
      <c r="E2702" s="98"/>
      <c r="F2702" s="99"/>
      <c r="G2702" s="100"/>
      <c r="H2702" s="100"/>
    </row>
    <row r="2703" customHeight="1" spans="2:8">
      <c r="B2703" s="98"/>
      <c r="C2703" s="98"/>
      <c r="D2703" s="98"/>
      <c r="E2703" s="98"/>
      <c r="F2703" s="99"/>
      <c r="G2703" s="100"/>
      <c r="H2703" s="100"/>
    </row>
    <row r="2704" customHeight="1" spans="2:8">
      <c r="B2704" s="98"/>
      <c r="C2704" s="98"/>
      <c r="D2704" s="98"/>
      <c r="E2704" s="98"/>
      <c r="F2704" s="99"/>
      <c r="G2704" s="100"/>
      <c r="H2704" s="100"/>
    </row>
    <row r="2705" customHeight="1" spans="2:8">
      <c r="B2705" s="98"/>
      <c r="C2705" s="98"/>
      <c r="D2705" s="98"/>
      <c r="E2705" s="98"/>
      <c r="F2705" s="99"/>
      <c r="G2705" s="100"/>
      <c r="H2705" s="100"/>
    </row>
    <row r="2706" customHeight="1" spans="2:8">
      <c r="B2706" s="98"/>
      <c r="C2706" s="98"/>
      <c r="D2706" s="98"/>
      <c r="E2706" s="98"/>
      <c r="F2706" s="99"/>
      <c r="G2706" s="100"/>
      <c r="H2706" s="100"/>
    </row>
    <row r="2707" customHeight="1" spans="2:8">
      <c r="B2707" s="98"/>
      <c r="C2707" s="98"/>
      <c r="D2707" s="98"/>
      <c r="E2707" s="98"/>
      <c r="F2707" s="99"/>
      <c r="G2707" s="100"/>
      <c r="H2707" s="100"/>
    </row>
    <row r="2708" customHeight="1" spans="2:8">
      <c r="B2708" s="98"/>
      <c r="C2708" s="98"/>
      <c r="D2708" s="98"/>
      <c r="E2708" s="98"/>
      <c r="F2708" s="99"/>
      <c r="G2708" s="100"/>
      <c r="H2708" s="100"/>
    </row>
    <row r="2709" customHeight="1" spans="2:8">
      <c r="B2709" s="98"/>
      <c r="C2709" s="98"/>
      <c r="D2709" s="98"/>
      <c r="E2709" s="98"/>
      <c r="F2709" s="99"/>
      <c r="G2709" s="100"/>
      <c r="H2709" s="100"/>
    </row>
    <row r="2710" customHeight="1" spans="2:8">
      <c r="B2710" s="98"/>
      <c r="C2710" s="98"/>
      <c r="D2710" s="98"/>
      <c r="E2710" s="98"/>
      <c r="F2710" s="99"/>
      <c r="G2710" s="100"/>
      <c r="H2710" s="100"/>
    </row>
    <row r="2711" customHeight="1" spans="2:8">
      <c r="B2711" s="98"/>
      <c r="C2711" s="98"/>
      <c r="D2711" s="98"/>
      <c r="E2711" s="98"/>
      <c r="F2711" s="99"/>
      <c r="G2711" s="100"/>
      <c r="H2711" s="100"/>
    </row>
    <row r="2712" customHeight="1" spans="2:8">
      <c r="B2712" s="98"/>
      <c r="C2712" s="98"/>
      <c r="D2712" s="98"/>
      <c r="E2712" s="98"/>
      <c r="F2712" s="99"/>
      <c r="G2712" s="100"/>
      <c r="H2712" s="100"/>
    </row>
    <row r="2713" customHeight="1" spans="2:8">
      <c r="B2713" s="98"/>
      <c r="C2713" s="98"/>
      <c r="D2713" s="98"/>
      <c r="E2713" s="98"/>
      <c r="F2713" s="99"/>
      <c r="G2713" s="100"/>
      <c r="H2713" s="100"/>
    </row>
    <row r="2714" customHeight="1" spans="2:8">
      <c r="B2714" s="98"/>
      <c r="C2714" s="98"/>
      <c r="D2714" s="98"/>
      <c r="E2714" s="98"/>
      <c r="F2714" s="99"/>
      <c r="G2714" s="100"/>
      <c r="H2714" s="100"/>
    </row>
    <row r="2715" customHeight="1" spans="2:8">
      <c r="B2715" s="98"/>
      <c r="C2715" s="98"/>
      <c r="D2715" s="98"/>
      <c r="E2715" s="98"/>
      <c r="F2715" s="99"/>
      <c r="G2715" s="100"/>
      <c r="H2715" s="100"/>
    </row>
    <row r="2716" customHeight="1" spans="2:8">
      <c r="B2716" s="98"/>
      <c r="C2716" s="98"/>
      <c r="D2716" s="98"/>
      <c r="E2716" s="98"/>
      <c r="F2716" s="99"/>
      <c r="G2716" s="100"/>
      <c r="H2716" s="100"/>
    </row>
    <row r="2717" customHeight="1" spans="2:8">
      <c r="B2717" s="98"/>
      <c r="C2717" s="98"/>
      <c r="D2717" s="98"/>
      <c r="E2717" s="98"/>
      <c r="F2717" s="99"/>
      <c r="G2717" s="100"/>
      <c r="H2717" s="100"/>
    </row>
    <row r="2718" customHeight="1" spans="2:8">
      <c r="B2718" s="98"/>
      <c r="C2718" s="98"/>
      <c r="D2718" s="98"/>
      <c r="E2718" s="98"/>
      <c r="F2718" s="99"/>
      <c r="G2718" s="100"/>
      <c r="H2718" s="100"/>
    </row>
    <row r="2719" customHeight="1" spans="2:8">
      <c r="B2719" s="98"/>
      <c r="C2719" s="98"/>
      <c r="D2719" s="98"/>
      <c r="E2719" s="98"/>
      <c r="F2719" s="99"/>
      <c r="G2719" s="100"/>
      <c r="H2719" s="100"/>
    </row>
    <row r="2720" customHeight="1" spans="2:8">
      <c r="B2720" s="98"/>
      <c r="C2720" s="98"/>
      <c r="D2720" s="98"/>
      <c r="E2720" s="98"/>
      <c r="F2720" s="99"/>
      <c r="G2720" s="100"/>
      <c r="H2720" s="100"/>
    </row>
    <row r="2721" customHeight="1" spans="2:8">
      <c r="B2721" s="98"/>
      <c r="C2721" s="98"/>
      <c r="D2721" s="98"/>
      <c r="E2721" s="98"/>
      <c r="F2721" s="99"/>
      <c r="G2721" s="100"/>
      <c r="H2721" s="100"/>
    </row>
    <row r="2722" customHeight="1" spans="2:8">
      <c r="B2722" s="98"/>
      <c r="C2722" s="98"/>
      <c r="D2722" s="98"/>
      <c r="E2722" s="98"/>
      <c r="F2722" s="99"/>
      <c r="G2722" s="100"/>
      <c r="H2722" s="100"/>
    </row>
    <row r="2723" customHeight="1" spans="2:8">
      <c r="B2723" s="98"/>
      <c r="C2723" s="98"/>
      <c r="D2723" s="98"/>
      <c r="E2723" s="98"/>
      <c r="F2723" s="99"/>
      <c r="G2723" s="100"/>
      <c r="H2723" s="100"/>
    </row>
    <row r="2724" customHeight="1" spans="2:8">
      <c r="B2724" s="98"/>
      <c r="C2724" s="98"/>
      <c r="D2724" s="98"/>
      <c r="E2724" s="98"/>
      <c r="F2724" s="99"/>
      <c r="G2724" s="100"/>
      <c r="H2724" s="100"/>
    </row>
    <row r="2725" customHeight="1" spans="2:8">
      <c r="B2725" s="98"/>
      <c r="C2725" s="98"/>
      <c r="D2725" s="98"/>
      <c r="E2725" s="98"/>
      <c r="F2725" s="99"/>
      <c r="G2725" s="100"/>
      <c r="H2725" s="100"/>
    </row>
    <row r="2726" customHeight="1" spans="2:8">
      <c r="B2726" s="98"/>
      <c r="C2726" s="98"/>
      <c r="D2726" s="98"/>
      <c r="E2726" s="98"/>
      <c r="F2726" s="99"/>
      <c r="G2726" s="100"/>
      <c r="H2726" s="100"/>
    </row>
    <row r="2727" customHeight="1" spans="2:8">
      <c r="B2727" s="98"/>
      <c r="C2727" s="98"/>
      <c r="D2727" s="98"/>
      <c r="E2727" s="98"/>
      <c r="F2727" s="99"/>
      <c r="G2727" s="100"/>
      <c r="H2727" s="100"/>
    </row>
    <row r="2728" customHeight="1" spans="2:8">
      <c r="B2728" s="98"/>
      <c r="C2728" s="98"/>
      <c r="D2728" s="98"/>
      <c r="E2728" s="98"/>
      <c r="F2728" s="99"/>
      <c r="G2728" s="100"/>
      <c r="H2728" s="100"/>
    </row>
    <row r="2729" customHeight="1" spans="2:8">
      <c r="B2729" s="98"/>
      <c r="C2729" s="98"/>
      <c r="D2729" s="98"/>
      <c r="E2729" s="98"/>
      <c r="F2729" s="99"/>
      <c r="G2729" s="100"/>
      <c r="H2729" s="100"/>
    </row>
    <row r="2730" customHeight="1" spans="2:8">
      <c r="B2730" s="98"/>
      <c r="C2730" s="98"/>
      <c r="D2730" s="98"/>
      <c r="E2730" s="98"/>
      <c r="F2730" s="99"/>
      <c r="G2730" s="100"/>
      <c r="H2730" s="100"/>
    </row>
    <row r="2731" customHeight="1" spans="2:8">
      <c r="B2731" s="98"/>
      <c r="C2731" s="98"/>
      <c r="D2731" s="98"/>
      <c r="E2731" s="98"/>
      <c r="F2731" s="99"/>
      <c r="G2731" s="100"/>
      <c r="H2731" s="100"/>
    </row>
    <row r="2732" customHeight="1" spans="2:8">
      <c r="B2732" s="98"/>
      <c r="C2732" s="98"/>
      <c r="D2732" s="98"/>
      <c r="E2732" s="98"/>
      <c r="F2732" s="99"/>
      <c r="G2732" s="100"/>
      <c r="H2732" s="100"/>
    </row>
    <row r="2733" customHeight="1" spans="2:8">
      <c r="B2733" s="98"/>
      <c r="C2733" s="98"/>
      <c r="D2733" s="98"/>
      <c r="E2733" s="98"/>
      <c r="F2733" s="99"/>
      <c r="G2733" s="100"/>
      <c r="H2733" s="100"/>
    </row>
    <row r="2734" customHeight="1" spans="2:8">
      <c r="B2734" s="98"/>
      <c r="C2734" s="98"/>
      <c r="D2734" s="98"/>
      <c r="E2734" s="98"/>
      <c r="F2734" s="99"/>
      <c r="G2734" s="100"/>
      <c r="H2734" s="100"/>
    </row>
    <row r="2735" customHeight="1" spans="2:8">
      <c r="B2735" s="98"/>
      <c r="C2735" s="98"/>
      <c r="D2735" s="98"/>
      <c r="E2735" s="98"/>
      <c r="F2735" s="99"/>
      <c r="G2735" s="100"/>
      <c r="H2735" s="100"/>
    </row>
    <row r="2736" customHeight="1" spans="2:8">
      <c r="B2736" s="98"/>
      <c r="C2736" s="98"/>
      <c r="D2736" s="98"/>
      <c r="E2736" s="98"/>
      <c r="F2736" s="99"/>
      <c r="G2736" s="100"/>
      <c r="H2736" s="100"/>
    </row>
    <row r="2737" customHeight="1" spans="2:8">
      <c r="B2737" s="98"/>
      <c r="C2737" s="98"/>
      <c r="D2737" s="98"/>
      <c r="E2737" s="98"/>
      <c r="F2737" s="99"/>
      <c r="G2737" s="100"/>
      <c r="H2737" s="100"/>
    </row>
    <row r="2738" customHeight="1" spans="2:8">
      <c r="B2738" s="98"/>
      <c r="C2738" s="98"/>
      <c r="D2738" s="98"/>
      <c r="E2738" s="98"/>
      <c r="F2738" s="99"/>
      <c r="G2738" s="100"/>
      <c r="H2738" s="100"/>
    </row>
    <row r="2739" customHeight="1" spans="2:8">
      <c r="B2739" s="98"/>
      <c r="C2739" s="98"/>
      <c r="D2739" s="98"/>
      <c r="E2739" s="98"/>
      <c r="F2739" s="99"/>
      <c r="G2739" s="100"/>
      <c r="H2739" s="100"/>
    </row>
    <row r="2740" customHeight="1" spans="2:8">
      <c r="B2740" s="98"/>
      <c r="C2740" s="98"/>
      <c r="D2740" s="98"/>
      <c r="E2740" s="98"/>
      <c r="F2740" s="99"/>
      <c r="G2740" s="100"/>
      <c r="H2740" s="100"/>
    </row>
    <row r="2741" customHeight="1" spans="2:8">
      <c r="B2741" s="98"/>
      <c r="C2741" s="98"/>
      <c r="D2741" s="98"/>
      <c r="E2741" s="98"/>
      <c r="F2741" s="99"/>
      <c r="G2741" s="100"/>
      <c r="H2741" s="100"/>
    </row>
    <row r="2742" customHeight="1" spans="2:8">
      <c r="B2742" s="98"/>
      <c r="C2742" s="98"/>
      <c r="D2742" s="98"/>
      <c r="E2742" s="98"/>
      <c r="F2742" s="99"/>
      <c r="G2742" s="100"/>
      <c r="H2742" s="100"/>
    </row>
    <row r="2743" customHeight="1" spans="2:8">
      <c r="B2743" s="98"/>
      <c r="C2743" s="98"/>
      <c r="D2743" s="98"/>
      <c r="E2743" s="98"/>
      <c r="F2743" s="99"/>
      <c r="G2743" s="100"/>
      <c r="H2743" s="100"/>
    </row>
    <row r="2744" customHeight="1" spans="2:8">
      <c r="B2744" s="98"/>
      <c r="C2744" s="98"/>
      <c r="D2744" s="98"/>
      <c r="E2744" s="98"/>
      <c r="F2744" s="99"/>
      <c r="G2744" s="100"/>
      <c r="H2744" s="100"/>
    </row>
    <row r="2745" customHeight="1" spans="2:8">
      <c r="B2745" s="98"/>
      <c r="C2745" s="98"/>
      <c r="D2745" s="98"/>
      <c r="E2745" s="98"/>
      <c r="F2745" s="99"/>
      <c r="G2745" s="100"/>
      <c r="H2745" s="100"/>
    </row>
    <row r="2746" customHeight="1" spans="2:8">
      <c r="B2746" s="98"/>
      <c r="C2746" s="98"/>
      <c r="D2746" s="98"/>
      <c r="E2746" s="98"/>
      <c r="F2746" s="99"/>
      <c r="G2746" s="100"/>
      <c r="H2746" s="100"/>
    </row>
    <row r="2747" customHeight="1" spans="2:8">
      <c r="B2747" s="98"/>
      <c r="C2747" s="98"/>
      <c r="D2747" s="98"/>
      <c r="E2747" s="98"/>
      <c r="F2747" s="99"/>
      <c r="G2747" s="100"/>
      <c r="H2747" s="100"/>
    </row>
    <row r="2748" customHeight="1" spans="2:8">
      <c r="B2748" s="98"/>
      <c r="C2748" s="98"/>
      <c r="D2748" s="98"/>
      <c r="E2748" s="98"/>
      <c r="F2748" s="99"/>
      <c r="G2748" s="100"/>
      <c r="H2748" s="100"/>
    </row>
    <row r="2749" customHeight="1" spans="2:8">
      <c r="B2749" s="98"/>
      <c r="C2749" s="98"/>
      <c r="D2749" s="98"/>
      <c r="E2749" s="98"/>
      <c r="F2749" s="99"/>
      <c r="G2749" s="100"/>
      <c r="H2749" s="100"/>
    </row>
    <row r="2750" customHeight="1" spans="2:8">
      <c r="B2750" s="98"/>
      <c r="C2750" s="98"/>
      <c r="D2750" s="98"/>
      <c r="E2750" s="98"/>
      <c r="F2750" s="99"/>
      <c r="G2750" s="100"/>
      <c r="H2750" s="100"/>
    </row>
    <row r="2751" customHeight="1" spans="2:8">
      <c r="B2751" s="98"/>
      <c r="C2751" s="98"/>
      <c r="D2751" s="98"/>
      <c r="E2751" s="98"/>
      <c r="F2751" s="99"/>
      <c r="G2751" s="100"/>
      <c r="H2751" s="100"/>
    </row>
    <row r="2752" customHeight="1" spans="2:8">
      <c r="B2752" s="98"/>
      <c r="C2752" s="98"/>
      <c r="D2752" s="98"/>
      <c r="E2752" s="98"/>
      <c r="F2752" s="99"/>
      <c r="G2752" s="100"/>
      <c r="H2752" s="100"/>
    </row>
    <row r="2753" customHeight="1" spans="2:8">
      <c r="B2753" s="98"/>
      <c r="C2753" s="98"/>
      <c r="D2753" s="98"/>
      <c r="E2753" s="98"/>
      <c r="F2753" s="99"/>
      <c r="G2753" s="100"/>
      <c r="H2753" s="100"/>
    </row>
    <row r="2754" customHeight="1" spans="2:8">
      <c r="B2754" s="98"/>
      <c r="C2754" s="98"/>
      <c r="D2754" s="98"/>
      <c r="E2754" s="98"/>
      <c r="F2754" s="99"/>
      <c r="G2754" s="100"/>
      <c r="H2754" s="100"/>
    </row>
    <row r="2755" customHeight="1" spans="2:8">
      <c r="B2755" s="98"/>
      <c r="C2755" s="98"/>
      <c r="D2755" s="98"/>
      <c r="E2755" s="98"/>
      <c r="F2755" s="99"/>
      <c r="G2755" s="100"/>
      <c r="H2755" s="100"/>
    </row>
    <row r="2756" customHeight="1" spans="2:8">
      <c r="B2756" s="98"/>
      <c r="C2756" s="98"/>
      <c r="D2756" s="98"/>
      <c r="E2756" s="98"/>
      <c r="F2756" s="99"/>
      <c r="G2756" s="100"/>
      <c r="H2756" s="100"/>
    </row>
    <row r="2757" customHeight="1" spans="2:8">
      <c r="B2757" s="98"/>
      <c r="C2757" s="98"/>
      <c r="D2757" s="98"/>
      <c r="E2757" s="98"/>
      <c r="F2757" s="99"/>
      <c r="G2757" s="100"/>
      <c r="H2757" s="100"/>
    </row>
    <row r="2758" customHeight="1" spans="2:8">
      <c r="B2758" s="98"/>
      <c r="C2758" s="98"/>
      <c r="D2758" s="98"/>
      <c r="E2758" s="98"/>
      <c r="F2758" s="99"/>
      <c r="G2758" s="100"/>
      <c r="H2758" s="100"/>
    </row>
    <row r="2759" customHeight="1" spans="2:8">
      <c r="B2759" s="98"/>
      <c r="C2759" s="98"/>
      <c r="D2759" s="98"/>
      <c r="E2759" s="98"/>
      <c r="F2759" s="99"/>
      <c r="G2759" s="100"/>
      <c r="H2759" s="100"/>
    </row>
    <row r="2760" customHeight="1" spans="2:8">
      <c r="B2760" s="98"/>
      <c r="C2760" s="98"/>
      <c r="D2760" s="98"/>
      <c r="E2760" s="98"/>
      <c r="F2760" s="99"/>
      <c r="G2760" s="100"/>
      <c r="H2760" s="100"/>
    </row>
    <row r="2761" customHeight="1" spans="2:8">
      <c r="B2761" s="98"/>
      <c r="C2761" s="98"/>
      <c r="D2761" s="98"/>
      <c r="E2761" s="98"/>
      <c r="F2761" s="99"/>
      <c r="G2761" s="100"/>
      <c r="H2761" s="100"/>
    </row>
    <row r="2762" customHeight="1" spans="2:8">
      <c r="B2762" s="98"/>
      <c r="C2762" s="98"/>
      <c r="D2762" s="98"/>
      <c r="E2762" s="98"/>
      <c r="F2762" s="99"/>
      <c r="G2762" s="100"/>
      <c r="H2762" s="100"/>
    </row>
    <row r="2763" customHeight="1" spans="2:8">
      <c r="B2763" s="98"/>
      <c r="C2763" s="98"/>
      <c r="D2763" s="98"/>
      <c r="E2763" s="98"/>
      <c r="F2763" s="99"/>
      <c r="G2763" s="100"/>
      <c r="H2763" s="100"/>
    </row>
    <row r="2764" customHeight="1" spans="2:8">
      <c r="B2764" s="98"/>
      <c r="C2764" s="98"/>
      <c r="D2764" s="98"/>
      <c r="E2764" s="98"/>
      <c r="F2764" s="99"/>
      <c r="G2764" s="100"/>
      <c r="H2764" s="100"/>
    </row>
    <row r="2765" customHeight="1" spans="2:8">
      <c r="B2765" s="98"/>
      <c r="C2765" s="98"/>
      <c r="D2765" s="98"/>
      <c r="E2765" s="98"/>
      <c r="F2765" s="99"/>
      <c r="G2765" s="100"/>
      <c r="H2765" s="100"/>
    </row>
    <row r="2766" customHeight="1" spans="2:8">
      <c r="B2766" s="98"/>
      <c r="C2766" s="98"/>
      <c r="D2766" s="98"/>
      <c r="E2766" s="98"/>
      <c r="F2766" s="99"/>
      <c r="G2766" s="100"/>
      <c r="H2766" s="100"/>
    </row>
    <row r="2767" customHeight="1" spans="2:8">
      <c r="B2767" s="98"/>
      <c r="C2767" s="98"/>
      <c r="D2767" s="98"/>
      <c r="E2767" s="98"/>
      <c r="F2767" s="99"/>
      <c r="G2767" s="100"/>
      <c r="H2767" s="100"/>
    </row>
    <row r="2768" customHeight="1" spans="2:8">
      <c r="B2768" s="98"/>
      <c r="C2768" s="98"/>
      <c r="D2768" s="98"/>
      <c r="E2768" s="98"/>
      <c r="F2768" s="99"/>
      <c r="G2768" s="100"/>
      <c r="H2768" s="100"/>
    </row>
    <row r="2769" customHeight="1" spans="2:8">
      <c r="B2769" s="98"/>
      <c r="C2769" s="98"/>
      <c r="D2769" s="98"/>
      <c r="E2769" s="98"/>
      <c r="F2769" s="99"/>
      <c r="G2769" s="100"/>
      <c r="H2769" s="100"/>
    </row>
    <row r="2770" customHeight="1" spans="2:8">
      <c r="B2770" s="98"/>
      <c r="C2770" s="98"/>
      <c r="D2770" s="98"/>
      <c r="E2770" s="98"/>
      <c r="F2770" s="99"/>
      <c r="G2770" s="100"/>
      <c r="H2770" s="100"/>
    </row>
    <row r="2771" customHeight="1" spans="2:8">
      <c r="B2771" s="98"/>
      <c r="C2771" s="98"/>
      <c r="D2771" s="98"/>
      <c r="E2771" s="98"/>
      <c r="F2771" s="99"/>
      <c r="G2771" s="100"/>
      <c r="H2771" s="100"/>
    </row>
    <row r="2772" customHeight="1" spans="2:8">
      <c r="B2772" s="98"/>
      <c r="C2772" s="98"/>
      <c r="D2772" s="98"/>
      <c r="E2772" s="98"/>
      <c r="F2772" s="99"/>
      <c r="G2772" s="100"/>
      <c r="H2772" s="100"/>
    </row>
    <row r="2773" customHeight="1" spans="2:8">
      <c r="B2773" s="98"/>
      <c r="C2773" s="98"/>
      <c r="D2773" s="98"/>
      <c r="E2773" s="98"/>
      <c r="F2773" s="99"/>
      <c r="G2773" s="100"/>
      <c r="H2773" s="100"/>
    </row>
    <row r="2774" customHeight="1" spans="2:8">
      <c r="B2774" s="98"/>
      <c r="C2774" s="98"/>
      <c r="D2774" s="98"/>
      <c r="E2774" s="98"/>
      <c r="F2774" s="99"/>
      <c r="G2774" s="100"/>
      <c r="H2774" s="100"/>
    </row>
    <row r="2775" customHeight="1" spans="2:8">
      <c r="B2775" s="98"/>
      <c r="C2775" s="98"/>
      <c r="D2775" s="98"/>
      <c r="E2775" s="98"/>
      <c r="F2775" s="99"/>
      <c r="G2775" s="100"/>
      <c r="H2775" s="100"/>
    </row>
    <row r="2776" customHeight="1" spans="2:8">
      <c r="B2776" s="98"/>
      <c r="C2776" s="98"/>
      <c r="D2776" s="98"/>
      <c r="E2776" s="98"/>
      <c r="F2776" s="99"/>
      <c r="G2776" s="100"/>
      <c r="H2776" s="100"/>
    </row>
    <row r="2777" customHeight="1" spans="2:8">
      <c r="B2777" s="98"/>
      <c r="C2777" s="98"/>
      <c r="D2777" s="98"/>
      <c r="E2777" s="98"/>
      <c r="F2777" s="99"/>
      <c r="G2777" s="100"/>
      <c r="H2777" s="100"/>
    </row>
    <row r="2778" customHeight="1" spans="2:8">
      <c r="B2778" s="98"/>
      <c r="C2778" s="98"/>
      <c r="D2778" s="98"/>
      <c r="E2778" s="98"/>
      <c r="F2778" s="99"/>
      <c r="G2778" s="100"/>
      <c r="H2778" s="100"/>
    </row>
    <row r="2779" customHeight="1" spans="2:8">
      <c r="B2779" s="98"/>
      <c r="C2779" s="98"/>
      <c r="D2779" s="98"/>
      <c r="E2779" s="98"/>
      <c r="F2779" s="99"/>
      <c r="G2779" s="100"/>
      <c r="H2779" s="100"/>
    </row>
    <row r="2780" customHeight="1" spans="2:8">
      <c r="B2780" s="98"/>
      <c r="C2780" s="98"/>
      <c r="D2780" s="98"/>
      <c r="E2780" s="98"/>
      <c r="F2780" s="99"/>
      <c r="G2780" s="100"/>
      <c r="H2780" s="100"/>
    </row>
    <row r="2781" customHeight="1" spans="2:8">
      <c r="B2781" s="98"/>
      <c r="C2781" s="98"/>
      <c r="D2781" s="98"/>
      <c r="E2781" s="98"/>
      <c r="F2781" s="99"/>
      <c r="G2781" s="100"/>
      <c r="H2781" s="100"/>
    </row>
    <row r="2782" customHeight="1" spans="2:8">
      <c r="B2782" s="98"/>
      <c r="C2782" s="98"/>
      <c r="D2782" s="98"/>
      <c r="E2782" s="98"/>
      <c r="F2782" s="99"/>
      <c r="G2782" s="100"/>
      <c r="H2782" s="100"/>
    </row>
    <row r="2783" customHeight="1" spans="2:8">
      <c r="B2783" s="98"/>
      <c r="C2783" s="98"/>
      <c r="D2783" s="98"/>
      <c r="E2783" s="98"/>
      <c r="F2783" s="99"/>
      <c r="G2783" s="100"/>
      <c r="H2783" s="100"/>
    </row>
    <row r="2784" customHeight="1" spans="2:8">
      <c r="B2784" s="98"/>
      <c r="C2784" s="98"/>
      <c r="D2784" s="98"/>
      <c r="E2784" s="98"/>
      <c r="F2784" s="99"/>
      <c r="G2784" s="100"/>
      <c r="H2784" s="100"/>
    </row>
    <row r="2785" customHeight="1" spans="2:8">
      <c r="B2785" s="98"/>
      <c r="C2785" s="98"/>
      <c r="D2785" s="98"/>
      <c r="E2785" s="98"/>
      <c r="F2785" s="99"/>
      <c r="G2785" s="100"/>
      <c r="H2785" s="100"/>
    </row>
    <row r="2786" customHeight="1" spans="2:8">
      <c r="B2786" s="98"/>
      <c r="C2786" s="98"/>
      <c r="D2786" s="98"/>
      <c r="E2786" s="98"/>
      <c r="F2786" s="99"/>
      <c r="G2786" s="100"/>
      <c r="H2786" s="100"/>
    </row>
    <row r="2787" customHeight="1" spans="2:8">
      <c r="B2787" s="98"/>
      <c r="C2787" s="98"/>
      <c r="D2787" s="98"/>
      <c r="E2787" s="98"/>
      <c r="F2787" s="99"/>
      <c r="G2787" s="100"/>
      <c r="H2787" s="100"/>
    </row>
    <row r="2788" customHeight="1" spans="2:8">
      <c r="B2788" s="98"/>
      <c r="C2788" s="98"/>
      <c r="D2788" s="98"/>
      <c r="E2788" s="98"/>
      <c r="F2788" s="99"/>
      <c r="G2788" s="100"/>
      <c r="H2788" s="100"/>
    </row>
    <row r="2789" customHeight="1" spans="2:8">
      <c r="B2789" s="98"/>
      <c r="C2789" s="98"/>
      <c r="D2789" s="98"/>
      <c r="E2789" s="98"/>
      <c r="F2789" s="99"/>
      <c r="G2789" s="100"/>
      <c r="H2789" s="100"/>
    </row>
    <row r="2790" customHeight="1" spans="2:8">
      <c r="B2790" s="98"/>
      <c r="C2790" s="98"/>
      <c r="D2790" s="98"/>
      <c r="E2790" s="98"/>
      <c r="F2790" s="99"/>
      <c r="G2790" s="100"/>
      <c r="H2790" s="100"/>
    </row>
    <row r="2791" customHeight="1" spans="2:8">
      <c r="B2791" s="98"/>
      <c r="C2791" s="98"/>
      <c r="D2791" s="98"/>
      <c r="E2791" s="98"/>
      <c r="F2791" s="99"/>
      <c r="G2791" s="100"/>
      <c r="H2791" s="100"/>
    </row>
    <row r="2792" customHeight="1" spans="2:8">
      <c r="B2792" s="98"/>
      <c r="C2792" s="98"/>
      <c r="D2792" s="98"/>
      <c r="E2792" s="98"/>
      <c r="F2792" s="99"/>
      <c r="G2792" s="100"/>
      <c r="H2792" s="100"/>
    </row>
    <row r="2793" customHeight="1" spans="2:8">
      <c r="B2793" s="98"/>
      <c r="C2793" s="98"/>
      <c r="D2793" s="98"/>
      <c r="E2793" s="98"/>
      <c r="F2793" s="99"/>
      <c r="G2793" s="100"/>
      <c r="H2793" s="100"/>
    </row>
    <row r="2794" customHeight="1" spans="2:8">
      <c r="B2794" s="98"/>
      <c r="C2794" s="98"/>
      <c r="D2794" s="98"/>
      <c r="E2794" s="98"/>
      <c r="F2794" s="99"/>
      <c r="G2794" s="100"/>
      <c r="H2794" s="100"/>
    </row>
    <row r="2795" customHeight="1" spans="2:8">
      <c r="B2795" s="98"/>
      <c r="C2795" s="98"/>
      <c r="D2795" s="98"/>
      <c r="E2795" s="98"/>
      <c r="F2795" s="99"/>
      <c r="G2795" s="100"/>
      <c r="H2795" s="100"/>
    </row>
    <row r="2796" customHeight="1" spans="2:8">
      <c r="B2796" s="98"/>
      <c r="C2796" s="98"/>
      <c r="D2796" s="98"/>
      <c r="E2796" s="98"/>
      <c r="F2796" s="99"/>
      <c r="G2796" s="100"/>
      <c r="H2796" s="100"/>
    </row>
    <row r="2797" customHeight="1" spans="2:8">
      <c r="B2797" s="98"/>
      <c r="C2797" s="98"/>
      <c r="D2797" s="98"/>
      <c r="E2797" s="98"/>
      <c r="F2797" s="99"/>
      <c r="G2797" s="100"/>
      <c r="H2797" s="100"/>
    </row>
    <row r="2798" customHeight="1" spans="2:8">
      <c r="B2798" s="98"/>
      <c r="C2798" s="98"/>
      <c r="D2798" s="98"/>
      <c r="E2798" s="98"/>
      <c r="F2798" s="99"/>
      <c r="G2798" s="100"/>
      <c r="H2798" s="100"/>
    </row>
    <row r="2799" customHeight="1" spans="2:8">
      <c r="B2799" s="98"/>
      <c r="C2799" s="98"/>
      <c r="D2799" s="98"/>
      <c r="E2799" s="98"/>
      <c r="F2799" s="99"/>
      <c r="G2799" s="100"/>
      <c r="H2799" s="100"/>
    </row>
    <row r="2800" customHeight="1" spans="2:8">
      <c r="B2800" s="98"/>
      <c r="C2800" s="98"/>
      <c r="D2800" s="98"/>
      <c r="E2800" s="98"/>
      <c r="F2800" s="99"/>
      <c r="G2800" s="100"/>
      <c r="H2800" s="100"/>
    </row>
    <row r="2801" customHeight="1" spans="2:8">
      <c r="B2801" s="98"/>
      <c r="C2801" s="98"/>
      <c r="D2801" s="98"/>
      <c r="E2801" s="98"/>
      <c r="F2801" s="99"/>
      <c r="G2801" s="100"/>
      <c r="H2801" s="100"/>
    </row>
    <row r="2802" customHeight="1" spans="2:8">
      <c r="B2802" s="98"/>
      <c r="C2802" s="98"/>
      <c r="D2802" s="98"/>
      <c r="E2802" s="98"/>
      <c r="F2802" s="99"/>
      <c r="G2802" s="100"/>
      <c r="H2802" s="100"/>
    </row>
    <row r="2803" customHeight="1" spans="2:8">
      <c r="B2803" s="98"/>
      <c r="C2803" s="98"/>
      <c r="D2803" s="98"/>
      <c r="E2803" s="98"/>
      <c r="F2803" s="99"/>
      <c r="G2803" s="100"/>
      <c r="H2803" s="100"/>
    </row>
    <row r="2804" customHeight="1" spans="2:8">
      <c r="B2804" s="98"/>
      <c r="C2804" s="98"/>
      <c r="D2804" s="98"/>
      <c r="E2804" s="98"/>
      <c r="F2804" s="99"/>
      <c r="G2804" s="100"/>
      <c r="H2804" s="100"/>
    </row>
    <row r="2805" customHeight="1" spans="2:8">
      <c r="B2805" s="98"/>
      <c r="C2805" s="98"/>
      <c r="D2805" s="98"/>
      <c r="E2805" s="98"/>
      <c r="F2805" s="99"/>
      <c r="G2805" s="100"/>
      <c r="H2805" s="100"/>
    </row>
    <row r="2806" customHeight="1" spans="2:8">
      <c r="B2806" s="98"/>
      <c r="C2806" s="98"/>
      <c r="D2806" s="98"/>
      <c r="E2806" s="98"/>
      <c r="F2806" s="99"/>
      <c r="G2806" s="100"/>
      <c r="H2806" s="100"/>
    </row>
    <row r="2807" customHeight="1" spans="2:8">
      <c r="B2807" s="98"/>
      <c r="C2807" s="98"/>
      <c r="D2807" s="98"/>
      <c r="E2807" s="98"/>
      <c r="F2807" s="99"/>
      <c r="G2807" s="100"/>
      <c r="H2807" s="100"/>
    </row>
    <row r="2808" customHeight="1" spans="2:8">
      <c r="B2808" s="98"/>
      <c r="C2808" s="98"/>
      <c r="D2808" s="98"/>
      <c r="E2808" s="98"/>
      <c r="F2808" s="99"/>
      <c r="G2808" s="100"/>
      <c r="H2808" s="100"/>
    </row>
    <row r="2809" customHeight="1" spans="2:8">
      <c r="B2809" s="98"/>
      <c r="C2809" s="98"/>
      <c r="D2809" s="98"/>
      <c r="E2809" s="98"/>
      <c r="F2809" s="99"/>
      <c r="G2809" s="100"/>
      <c r="H2809" s="100"/>
    </row>
    <row r="2810" customHeight="1" spans="2:8">
      <c r="B2810" s="98"/>
      <c r="C2810" s="98"/>
      <c r="D2810" s="98"/>
      <c r="E2810" s="98"/>
      <c r="F2810" s="99"/>
      <c r="G2810" s="100"/>
      <c r="H2810" s="100"/>
    </row>
    <row r="2811" customHeight="1" spans="2:8">
      <c r="B2811" s="98"/>
      <c r="C2811" s="98"/>
      <c r="D2811" s="98"/>
      <c r="E2811" s="98"/>
      <c r="F2811" s="99"/>
      <c r="G2811" s="100"/>
      <c r="H2811" s="100"/>
    </row>
    <row r="2812" customHeight="1" spans="2:8">
      <c r="B2812" s="98"/>
      <c r="C2812" s="98"/>
      <c r="D2812" s="98"/>
      <c r="E2812" s="98"/>
      <c r="F2812" s="99"/>
      <c r="G2812" s="100"/>
      <c r="H2812" s="100"/>
    </row>
    <row r="2813" customHeight="1" spans="2:8">
      <c r="B2813" s="98"/>
      <c r="C2813" s="98"/>
      <c r="D2813" s="98"/>
      <c r="E2813" s="98"/>
      <c r="F2813" s="99"/>
      <c r="G2813" s="100"/>
      <c r="H2813" s="100"/>
    </row>
    <row r="2814" customHeight="1" spans="2:8">
      <c r="B2814" s="98"/>
      <c r="C2814" s="98"/>
      <c r="D2814" s="98"/>
      <c r="E2814" s="98"/>
      <c r="F2814" s="99"/>
      <c r="G2814" s="100"/>
      <c r="H2814" s="100"/>
    </row>
    <row r="2815" customHeight="1" spans="2:8">
      <c r="B2815" s="98"/>
      <c r="C2815" s="98"/>
      <c r="D2815" s="98"/>
      <c r="E2815" s="98"/>
      <c r="F2815" s="99"/>
      <c r="G2815" s="100"/>
      <c r="H2815" s="100"/>
    </row>
    <row r="2816" customHeight="1" spans="2:8">
      <c r="B2816" s="98"/>
      <c r="C2816" s="98"/>
      <c r="D2816" s="98"/>
      <c r="E2816" s="98"/>
      <c r="F2816" s="99"/>
      <c r="G2816" s="100"/>
      <c r="H2816" s="100"/>
    </row>
    <row r="2817" customHeight="1" spans="2:8">
      <c r="B2817" s="98"/>
      <c r="C2817" s="98"/>
      <c r="D2817" s="98"/>
      <c r="E2817" s="98"/>
      <c r="F2817" s="99"/>
      <c r="G2817" s="100"/>
      <c r="H2817" s="100"/>
    </row>
    <row r="2818" customHeight="1" spans="2:8">
      <c r="B2818" s="98"/>
      <c r="C2818" s="98"/>
      <c r="D2818" s="98"/>
      <c r="E2818" s="98"/>
      <c r="F2818" s="99"/>
      <c r="G2818" s="100"/>
      <c r="H2818" s="100"/>
    </row>
    <row r="2819" customHeight="1" spans="2:8">
      <c r="B2819" s="98"/>
      <c r="C2819" s="98"/>
      <c r="D2819" s="98"/>
      <c r="E2819" s="98"/>
      <c r="F2819" s="99"/>
      <c r="G2819" s="100"/>
      <c r="H2819" s="100"/>
    </row>
    <row r="2820" customHeight="1" spans="2:8">
      <c r="B2820" s="98"/>
      <c r="C2820" s="98"/>
      <c r="D2820" s="98"/>
      <c r="E2820" s="98"/>
      <c r="F2820" s="99"/>
      <c r="G2820" s="100"/>
      <c r="H2820" s="100"/>
    </row>
    <row r="2821" customHeight="1" spans="2:8">
      <c r="B2821" s="98"/>
      <c r="C2821" s="98"/>
      <c r="D2821" s="98"/>
      <c r="E2821" s="98"/>
      <c r="F2821" s="99"/>
      <c r="G2821" s="100"/>
      <c r="H2821" s="100"/>
    </row>
    <row r="2822" customHeight="1" spans="2:8">
      <c r="B2822" s="98"/>
      <c r="C2822" s="98"/>
      <c r="D2822" s="98"/>
      <c r="E2822" s="98"/>
      <c r="F2822" s="99"/>
      <c r="G2822" s="100"/>
      <c r="H2822" s="100"/>
    </row>
    <row r="2823" customHeight="1" spans="2:8">
      <c r="B2823" s="98"/>
      <c r="C2823" s="98"/>
      <c r="D2823" s="98"/>
      <c r="E2823" s="98"/>
      <c r="F2823" s="99"/>
      <c r="G2823" s="100"/>
      <c r="H2823" s="100"/>
    </row>
    <row r="2824" customHeight="1" spans="2:8">
      <c r="B2824" s="98"/>
      <c r="C2824" s="98"/>
      <c r="D2824" s="98"/>
      <c r="E2824" s="98"/>
      <c r="F2824" s="99"/>
      <c r="G2824" s="100"/>
      <c r="H2824" s="100"/>
    </row>
    <row r="2825" customHeight="1" spans="2:8">
      <c r="B2825" s="98"/>
      <c r="C2825" s="98"/>
      <c r="D2825" s="98"/>
      <c r="E2825" s="98"/>
      <c r="F2825" s="99"/>
      <c r="G2825" s="100"/>
      <c r="H2825" s="100"/>
    </row>
    <row r="2826" customHeight="1" spans="2:8">
      <c r="B2826" s="98"/>
      <c r="C2826" s="98"/>
      <c r="D2826" s="98"/>
      <c r="E2826" s="98"/>
      <c r="F2826" s="99"/>
      <c r="G2826" s="100"/>
      <c r="H2826" s="100"/>
    </row>
    <row r="2827" customHeight="1" spans="2:8">
      <c r="B2827" s="98"/>
      <c r="C2827" s="98"/>
      <c r="D2827" s="98"/>
      <c r="E2827" s="98"/>
      <c r="F2827" s="99"/>
      <c r="G2827" s="100"/>
      <c r="H2827" s="100"/>
    </row>
    <row r="2828" customHeight="1" spans="2:8">
      <c r="B2828" s="98"/>
      <c r="C2828" s="98"/>
      <c r="D2828" s="98"/>
      <c r="E2828" s="98"/>
      <c r="F2828" s="99"/>
      <c r="G2828" s="100"/>
      <c r="H2828" s="100"/>
    </row>
    <row r="2829" customHeight="1" spans="2:8">
      <c r="B2829" s="98"/>
      <c r="C2829" s="98"/>
      <c r="D2829" s="98"/>
      <c r="E2829" s="98"/>
      <c r="F2829" s="99"/>
      <c r="G2829" s="100"/>
      <c r="H2829" s="100"/>
    </row>
    <row r="2830" customHeight="1" spans="2:8">
      <c r="B2830" s="98"/>
      <c r="C2830" s="98"/>
      <c r="D2830" s="98"/>
      <c r="E2830" s="98"/>
      <c r="F2830" s="99"/>
      <c r="G2830" s="100"/>
      <c r="H2830" s="100"/>
    </row>
    <row r="2831" customHeight="1" spans="2:8">
      <c r="B2831" s="98"/>
      <c r="C2831" s="98"/>
      <c r="D2831" s="98"/>
      <c r="E2831" s="98"/>
      <c r="F2831" s="99"/>
      <c r="G2831" s="100"/>
      <c r="H2831" s="100"/>
    </row>
    <row r="2832" customHeight="1" spans="2:8">
      <c r="B2832" s="98"/>
      <c r="C2832" s="98"/>
      <c r="D2832" s="98"/>
      <c r="E2832" s="98"/>
      <c r="F2832" s="99"/>
      <c r="G2832" s="100"/>
      <c r="H2832" s="100"/>
    </row>
    <row r="2833" customHeight="1" spans="2:8">
      <c r="B2833" s="98"/>
      <c r="C2833" s="98"/>
      <c r="D2833" s="98"/>
      <c r="E2833" s="98"/>
      <c r="F2833" s="99"/>
      <c r="G2833" s="100"/>
      <c r="H2833" s="100"/>
    </row>
    <row r="2834" customHeight="1" spans="2:8">
      <c r="B2834" s="98"/>
      <c r="C2834" s="98"/>
      <c r="D2834" s="98"/>
      <c r="E2834" s="98"/>
      <c r="F2834" s="99"/>
      <c r="G2834" s="100"/>
      <c r="H2834" s="100"/>
    </row>
    <row r="2835" customHeight="1" spans="2:8">
      <c r="B2835" s="98"/>
      <c r="C2835" s="98"/>
      <c r="D2835" s="98"/>
      <c r="E2835" s="98"/>
      <c r="F2835" s="99"/>
      <c r="G2835" s="100"/>
      <c r="H2835" s="100"/>
    </row>
    <row r="2836" customHeight="1" spans="2:8">
      <c r="B2836" s="98"/>
      <c r="C2836" s="98"/>
      <c r="D2836" s="98"/>
      <c r="E2836" s="98"/>
      <c r="F2836" s="99"/>
      <c r="G2836" s="100"/>
      <c r="H2836" s="100"/>
    </row>
    <row r="2837" customHeight="1" spans="2:8">
      <c r="B2837" s="98"/>
      <c r="C2837" s="98"/>
      <c r="D2837" s="98"/>
      <c r="E2837" s="98"/>
      <c r="F2837" s="99"/>
      <c r="G2837" s="100"/>
      <c r="H2837" s="100"/>
    </row>
    <row r="2838" customHeight="1" spans="2:8">
      <c r="B2838" s="98"/>
      <c r="C2838" s="98"/>
      <c r="D2838" s="98"/>
      <c r="E2838" s="98"/>
      <c r="F2838" s="99"/>
      <c r="G2838" s="100"/>
      <c r="H2838" s="100"/>
    </row>
    <row r="2839" customHeight="1" spans="2:8">
      <c r="B2839" s="98"/>
      <c r="C2839" s="98"/>
      <c r="D2839" s="98"/>
      <c r="E2839" s="98"/>
      <c r="F2839" s="99"/>
      <c r="G2839" s="100"/>
      <c r="H2839" s="100"/>
    </row>
    <row r="2840" customHeight="1" spans="2:8">
      <c r="B2840" s="98"/>
      <c r="C2840" s="98"/>
      <c r="D2840" s="98"/>
      <c r="E2840" s="98"/>
      <c r="F2840" s="99"/>
      <c r="G2840" s="100"/>
      <c r="H2840" s="100"/>
    </row>
    <row r="2841" customHeight="1" spans="2:8">
      <c r="B2841" s="98"/>
      <c r="C2841" s="98"/>
      <c r="D2841" s="98"/>
      <c r="E2841" s="98"/>
      <c r="F2841" s="99"/>
      <c r="G2841" s="100"/>
      <c r="H2841" s="100"/>
    </row>
    <row r="2842" customHeight="1" spans="2:8">
      <c r="B2842" s="98"/>
      <c r="C2842" s="98"/>
      <c r="D2842" s="98"/>
      <c r="E2842" s="98"/>
      <c r="F2842" s="99"/>
      <c r="G2842" s="100"/>
      <c r="H2842" s="100"/>
    </row>
    <row r="2843" customHeight="1" spans="2:8">
      <c r="B2843" s="98"/>
      <c r="C2843" s="98"/>
      <c r="D2843" s="98"/>
      <c r="E2843" s="98"/>
      <c r="F2843" s="99"/>
      <c r="G2843" s="100"/>
      <c r="H2843" s="100"/>
    </row>
    <row r="2844" customHeight="1" spans="2:8">
      <c r="B2844" s="98"/>
      <c r="C2844" s="98"/>
      <c r="D2844" s="98"/>
      <c r="E2844" s="98"/>
      <c r="F2844" s="99"/>
      <c r="G2844" s="100"/>
      <c r="H2844" s="100"/>
    </row>
    <row r="2845" customHeight="1" spans="2:8">
      <c r="B2845" s="98"/>
      <c r="C2845" s="98"/>
      <c r="D2845" s="98"/>
      <c r="E2845" s="98"/>
      <c r="F2845" s="99"/>
      <c r="G2845" s="100"/>
      <c r="H2845" s="100"/>
    </row>
    <row r="2846" customHeight="1" spans="2:8">
      <c r="B2846" s="98"/>
      <c r="C2846" s="98"/>
      <c r="D2846" s="98"/>
      <c r="E2846" s="98"/>
      <c r="F2846" s="99"/>
      <c r="G2846" s="100"/>
      <c r="H2846" s="100"/>
    </row>
    <row r="2847" customHeight="1" spans="2:8">
      <c r="B2847" s="98"/>
      <c r="C2847" s="98"/>
      <c r="D2847" s="98"/>
      <c r="E2847" s="98"/>
      <c r="F2847" s="99"/>
      <c r="G2847" s="100"/>
      <c r="H2847" s="100"/>
    </row>
    <row r="2848" customHeight="1" spans="2:8">
      <c r="B2848" s="98"/>
      <c r="C2848" s="98"/>
      <c r="D2848" s="98"/>
      <c r="E2848" s="98"/>
      <c r="F2848" s="99"/>
      <c r="G2848" s="100"/>
      <c r="H2848" s="100"/>
    </row>
    <row r="2849" customHeight="1" spans="2:8">
      <c r="B2849" s="98"/>
      <c r="C2849" s="98"/>
      <c r="D2849" s="98"/>
      <c r="E2849" s="98"/>
      <c r="F2849" s="99"/>
      <c r="G2849" s="100"/>
      <c r="H2849" s="100"/>
    </row>
    <row r="2850" customHeight="1" spans="2:8">
      <c r="B2850" s="98"/>
      <c r="C2850" s="98"/>
      <c r="D2850" s="98"/>
      <c r="E2850" s="98"/>
      <c r="F2850" s="99"/>
      <c r="G2850" s="100"/>
      <c r="H2850" s="100"/>
    </row>
    <row r="2851" customHeight="1" spans="2:8">
      <c r="B2851" s="98"/>
      <c r="C2851" s="98"/>
      <c r="D2851" s="98"/>
      <c r="E2851" s="98"/>
      <c r="F2851" s="99"/>
      <c r="G2851" s="100"/>
      <c r="H2851" s="100"/>
    </row>
    <row r="2852" customHeight="1" spans="2:8">
      <c r="B2852" s="98"/>
      <c r="C2852" s="98"/>
      <c r="D2852" s="98"/>
      <c r="E2852" s="98"/>
      <c r="F2852" s="99"/>
      <c r="G2852" s="100"/>
      <c r="H2852" s="100"/>
    </row>
    <row r="2853" customHeight="1" spans="2:8">
      <c r="B2853" s="98"/>
      <c r="C2853" s="98"/>
      <c r="D2853" s="98"/>
      <c r="E2853" s="98"/>
      <c r="F2853" s="99"/>
      <c r="G2853" s="100"/>
      <c r="H2853" s="100"/>
    </row>
    <row r="2854" customHeight="1" spans="2:8">
      <c r="B2854" s="98"/>
      <c r="C2854" s="98"/>
      <c r="D2854" s="98"/>
      <c r="E2854" s="98"/>
      <c r="F2854" s="99"/>
      <c r="G2854" s="100"/>
      <c r="H2854" s="100"/>
    </row>
    <row r="2855" customHeight="1" spans="2:8">
      <c r="B2855" s="98"/>
      <c r="C2855" s="98"/>
      <c r="D2855" s="98"/>
      <c r="E2855" s="98"/>
      <c r="F2855" s="99"/>
      <c r="G2855" s="100"/>
      <c r="H2855" s="100"/>
    </row>
    <row r="2856" customHeight="1" spans="2:8">
      <c r="B2856" s="98"/>
      <c r="C2856" s="98"/>
      <c r="D2856" s="98"/>
      <c r="E2856" s="98"/>
      <c r="F2856" s="99"/>
      <c r="G2856" s="100"/>
      <c r="H2856" s="100"/>
    </row>
    <row r="2857" customHeight="1" spans="2:8">
      <c r="B2857" s="98"/>
      <c r="C2857" s="98"/>
      <c r="D2857" s="98"/>
      <c r="E2857" s="98"/>
      <c r="F2857" s="99"/>
      <c r="G2857" s="100"/>
      <c r="H2857" s="100"/>
    </row>
    <row r="2858" customHeight="1" spans="2:8">
      <c r="B2858" s="98"/>
      <c r="C2858" s="98"/>
      <c r="D2858" s="98"/>
      <c r="E2858" s="98"/>
      <c r="F2858" s="99"/>
      <c r="G2858" s="100"/>
      <c r="H2858" s="100"/>
    </row>
    <row r="2859" customHeight="1" spans="2:8">
      <c r="B2859" s="98"/>
      <c r="C2859" s="98"/>
      <c r="D2859" s="98"/>
      <c r="E2859" s="98"/>
      <c r="F2859" s="99"/>
      <c r="G2859" s="100"/>
      <c r="H2859" s="100"/>
    </row>
    <row r="2860" customHeight="1" spans="2:8">
      <c r="B2860" s="98"/>
      <c r="C2860" s="98"/>
      <c r="D2860" s="98"/>
      <c r="E2860" s="98"/>
      <c r="F2860" s="99"/>
      <c r="G2860" s="100"/>
      <c r="H2860" s="100"/>
    </row>
    <row r="2861" customHeight="1" spans="2:8">
      <c r="B2861" s="98"/>
      <c r="C2861" s="98"/>
      <c r="D2861" s="98"/>
      <c r="E2861" s="98"/>
      <c r="F2861" s="99"/>
      <c r="G2861" s="100"/>
      <c r="H2861" s="100"/>
    </row>
    <row r="2862" customHeight="1" spans="2:8">
      <c r="B2862" s="98"/>
      <c r="C2862" s="98"/>
      <c r="D2862" s="98"/>
      <c r="E2862" s="98"/>
      <c r="F2862" s="99"/>
      <c r="G2862" s="100"/>
      <c r="H2862" s="100"/>
    </row>
    <row r="2863" customHeight="1" spans="2:8">
      <c r="B2863" s="98"/>
      <c r="C2863" s="98"/>
      <c r="D2863" s="98"/>
      <c r="E2863" s="98"/>
      <c r="F2863" s="99"/>
      <c r="G2863" s="100"/>
      <c r="H2863" s="100"/>
    </row>
    <row r="2864" customHeight="1" spans="2:8">
      <c r="B2864" s="98"/>
      <c r="C2864" s="98"/>
      <c r="D2864" s="98"/>
      <c r="E2864" s="98"/>
      <c r="F2864" s="99"/>
      <c r="G2864" s="100"/>
      <c r="H2864" s="100"/>
    </row>
    <row r="2865" customHeight="1" spans="2:8">
      <c r="B2865" s="98"/>
      <c r="C2865" s="98"/>
      <c r="D2865" s="98"/>
      <c r="E2865" s="98"/>
      <c r="F2865" s="99"/>
      <c r="G2865" s="100"/>
      <c r="H2865" s="100"/>
    </row>
    <row r="2866" customHeight="1" spans="2:8">
      <c r="B2866" s="98"/>
      <c r="C2866" s="98"/>
      <c r="D2866" s="98"/>
      <c r="E2866" s="98"/>
      <c r="F2866" s="99"/>
      <c r="G2866" s="100"/>
      <c r="H2866" s="100"/>
    </row>
    <row r="2867" customHeight="1" spans="2:8">
      <c r="B2867" s="98"/>
      <c r="C2867" s="98"/>
      <c r="D2867" s="98"/>
      <c r="E2867" s="98"/>
      <c r="F2867" s="99"/>
      <c r="G2867" s="100"/>
      <c r="H2867" s="100"/>
    </row>
    <row r="2868" customHeight="1" spans="2:8">
      <c r="B2868" s="98"/>
      <c r="C2868" s="98"/>
      <c r="D2868" s="98"/>
      <c r="E2868" s="98"/>
      <c r="F2868" s="99"/>
      <c r="G2868" s="100"/>
      <c r="H2868" s="100"/>
    </row>
    <row r="2869" customHeight="1" spans="2:8">
      <c r="B2869" s="98"/>
      <c r="C2869" s="98"/>
      <c r="D2869" s="98"/>
      <c r="E2869" s="98"/>
      <c r="F2869" s="99"/>
      <c r="G2869" s="100"/>
      <c r="H2869" s="100"/>
    </row>
    <row r="2870" customHeight="1" spans="2:8">
      <c r="B2870" s="98"/>
      <c r="C2870" s="98"/>
      <c r="D2870" s="98"/>
      <c r="E2870" s="98"/>
      <c r="F2870" s="99"/>
      <c r="G2870" s="100"/>
      <c r="H2870" s="100"/>
    </row>
    <row r="2871" customHeight="1" spans="2:8">
      <c r="B2871" s="98"/>
      <c r="C2871" s="98"/>
      <c r="D2871" s="98"/>
      <c r="E2871" s="98"/>
      <c r="F2871" s="99"/>
      <c r="G2871" s="100"/>
      <c r="H2871" s="100"/>
    </row>
    <row r="2872" customHeight="1" spans="2:8">
      <c r="B2872" s="98"/>
      <c r="C2872" s="98"/>
      <c r="D2872" s="98"/>
      <c r="E2872" s="98"/>
      <c r="F2872" s="99"/>
      <c r="G2872" s="100"/>
      <c r="H2872" s="100"/>
    </row>
    <row r="2873" customHeight="1" spans="2:8">
      <c r="B2873" s="98"/>
      <c r="C2873" s="98"/>
      <c r="D2873" s="98"/>
      <c r="E2873" s="98"/>
      <c r="F2873" s="99"/>
      <c r="G2873" s="100"/>
      <c r="H2873" s="100"/>
    </row>
    <row r="2874" customHeight="1" spans="2:8">
      <c r="B2874" s="98"/>
      <c r="C2874" s="98"/>
      <c r="D2874" s="98"/>
      <c r="E2874" s="98"/>
      <c r="F2874" s="99"/>
      <c r="G2874" s="100"/>
      <c r="H2874" s="100"/>
    </row>
    <row r="2875" customHeight="1" spans="2:8">
      <c r="B2875" s="98"/>
      <c r="C2875" s="98"/>
      <c r="D2875" s="98"/>
      <c r="E2875" s="98"/>
      <c r="F2875" s="99"/>
      <c r="G2875" s="100"/>
      <c r="H2875" s="100"/>
    </row>
    <row r="2876" customHeight="1" spans="2:8">
      <c r="B2876" s="98"/>
      <c r="C2876" s="98"/>
      <c r="D2876" s="98"/>
      <c r="E2876" s="98"/>
      <c r="F2876" s="99"/>
      <c r="G2876" s="100"/>
      <c r="H2876" s="100"/>
    </row>
    <row r="2877" customHeight="1" spans="2:8">
      <c r="B2877" s="98"/>
      <c r="C2877" s="98"/>
      <c r="D2877" s="98"/>
      <c r="E2877" s="98"/>
      <c r="F2877" s="99"/>
      <c r="G2877" s="100"/>
      <c r="H2877" s="100"/>
    </row>
    <row r="2878" customHeight="1" spans="2:8">
      <c r="B2878" s="98"/>
      <c r="C2878" s="98"/>
      <c r="D2878" s="98"/>
      <c r="E2878" s="98"/>
      <c r="F2878" s="99"/>
      <c r="G2878" s="100"/>
      <c r="H2878" s="100"/>
    </row>
    <row r="2879" customHeight="1" spans="2:8">
      <c r="B2879" s="98"/>
      <c r="C2879" s="98"/>
      <c r="D2879" s="98"/>
      <c r="E2879" s="98"/>
      <c r="F2879" s="99"/>
      <c r="G2879" s="100"/>
      <c r="H2879" s="100"/>
    </row>
    <row r="2880" customHeight="1" spans="2:8">
      <c r="B2880" s="98"/>
      <c r="C2880" s="98"/>
      <c r="D2880" s="98"/>
      <c r="E2880" s="98"/>
      <c r="F2880" s="99"/>
      <c r="G2880" s="100"/>
      <c r="H2880" s="100"/>
    </row>
    <row r="2881" customHeight="1" spans="2:8">
      <c r="B2881" s="98"/>
      <c r="C2881" s="98"/>
      <c r="D2881" s="98"/>
      <c r="E2881" s="98"/>
      <c r="F2881" s="99"/>
      <c r="G2881" s="100"/>
      <c r="H2881" s="100"/>
    </row>
    <row r="2882" customHeight="1" spans="2:8">
      <c r="B2882" s="98"/>
      <c r="C2882" s="98"/>
      <c r="D2882" s="98"/>
      <c r="E2882" s="98"/>
      <c r="F2882" s="99"/>
      <c r="G2882" s="100"/>
      <c r="H2882" s="100"/>
    </row>
    <row r="2883" customHeight="1" spans="2:8">
      <c r="B2883" s="98"/>
      <c r="C2883" s="98"/>
      <c r="D2883" s="98"/>
      <c r="E2883" s="98"/>
      <c r="F2883" s="99"/>
      <c r="G2883" s="100"/>
      <c r="H2883" s="100"/>
    </row>
    <row r="2884" customHeight="1" spans="2:8">
      <c r="B2884" s="98"/>
      <c r="C2884" s="98"/>
      <c r="D2884" s="98"/>
      <c r="E2884" s="98"/>
      <c r="F2884" s="99"/>
      <c r="G2884" s="100"/>
      <c r="H2884" s="100"/>
    </row>
    <row r="2885" customHeight="1" spans="2:8">
      <c r="B2885" s="98"/>
      <c r="C2885" s="98"/>
      <c r="D2885" s="98"/>
      <c r="E2885" s="98"/>
      <c r="F2885" s="99"/>
      <c r="G2885" s="100"/>
      <c r="H2885" s="100"/>
    </row>
    <row r="2886" customHeight="1" spans="2:8">
      <c r="B2886" s="98"/>
      <c r="C2886" s="98"/>
      <c r="D2886" s="98"/>
      <c r="E2886" s="98"/>
      <c r="F2886" s="99"/>
      <c r="G2886" s="100"/>
      <c r="H2886" s="100"/>
    </row>
    <row r="2887" customHeight="1" spans="2:8">
      <c r="B2887" s="98"/>
      <c r="C2887" s="98"/>
      <c r="D2887" s="98"/>
      <c r="E2887" s="98"/>
      <c r="F2887" s="99"/>
      <c r="G2887" s="100"/>
      <c r="H2887" s="100"/>
    </row>
    <row r="2888" customHeight="1" spans="2:8">
      <c r="B2888" s="98"/>
      <c r="C2888" s="98"/>
      <c r="D2888" s="98"/>
      <c r="E2888" s="98"/>
      <c r="F2888" s="99"/>
      <c r="G2888" s="100"/>
      <c r="H2888" s="100"/>
    </row>
    <row r="2889" customHeight="1" spans="2:8">
      <c r="B2889" s="98"/>
      <c r="C2889" s="98"/>
      <c r="D2889" s="98"/>
      <c r="E2889" s="98"/>
      <c r="F2889" s="99"/>
      <c r="G2889" s="100"/>
      <c r="H2889" s="100"/>
    </row>
    <row r="2890" customHeight="1" spans="2:8">
      <c r="B2890" s="98"/>
      <c r="C2890" s="98"/>
      <c r="D2890" s="98"/>
      <c r="E2890" s="98"/>
      <c r="F2890" s="99"/>
      <c r="G2890" s="100"/>
      <c r="H2890" s="100"/>
    </row>
    <row r="2891" customHeight="1" spans="2:8">
      <c r="B2891" s="98"/>
      <c r="C2891" s="98"/>
      <c r="D2891" s="98"/>
      <c r="E2891" s="98"/>
      <c r="F2891" s="99"/>
      <c r="G2891" s="100"/>
      <c r="H2891" s="100"/>
    </row>
    <row r="2892" customHeight="1" spans="2:8">
      <c r="B2892" s="98"/>
      <c r="C2892" s="98"/>
      <c r="D2892" s="98"/>
      <c r="E2892" s="98"/>
      <c r="F2892" s="99"/>
      <c r="G2892" s="100"/>
      <c r="H2892" s="100"/>
    </row>
    <row r="2893" customHeight="1" spans="2:8">
      <c r="B2893" s="98"/>
      <c r="C2893" s="98"/>
      <c r="D2893" s="98"/>
      <c r="E2893" s="98"/>
      <c r="F2893" s="99"/>
      <c r="G2893" s="100"/>
      <c r="H2893" s="100"/>
    </row>
    <row r="2894" customHeight="1" spans="2:8">
      <c r="B2894" s="98"/>
      <c r="C2894" s="98"/>
      <c r="D2894" s="98"/>
      <c r="E2894" s="98"/>
      <c r="F2894" s="99"/>
      <c r="G2894" s="100"/>
      <c r="H2894" s="100"/>
    </row>
    <row r="2895" customHeight="1" spans="2:8">
      <c r="B2895" s="98"/>
      <c r="C2895" s="98"/>
      <c r="D2895" s="98"/>
      <c r="E2895" s="98"/>
      <c r="F2895" s="99"/>
      <c r="G2895" s="100"/>
      <c r="H2895" s="100"/>
    </row>
    <row r="2896" customHeight="1" spans="2:8">
      <c r="B2896" s="98"/>
      <c r="C2896" s="98"/>
      <c r="D2896" s="98"/>
      <c r="E2896" s="98"/>
      <c r="F2896" s="99"/>
      <c r="G2896" s="100"/>
      <c r="H2896" s="100"/>
    </row>
    <row r="2897" customHeight="1" spans="2:8">
      <c r="B2897" s="98"/>
      <c r="C2897" s="98"/>
      <c r="D2897" s="98"/>
      <c r="E2897" s="98"/>
      <c r="F2897" s="99"/>
      <c r="G2897" s="100"/>
      <c r="H2897" s="100"/>
    </row>
    <row r="2898" customHeight="1" spans="2:8">
      <c r="B2898" s="98"/>
      <c r="C2898" s="98"/>
      <c r="D2898" s="98"/>
      <c r="E2898" s="98"/>
      <c r="F2898" s="99"/>
      <c r="G2898" s="100"/>
      <c r="H2898" s="100"/>
    </row>
    <row r="2899" customHeight="1" spans="2:8">
      <c r="B2899" s="98"/>
      <c r="C2899" s="98"/>
      <c r="D2899" s="98"/>
      <c r="E2899" s="98"/>
      <c r="F2899" s="99"/>
      <c r="G2899" s="100"/>
      <c r="H2899" s="100"/>
    </row>
    <row r="2900" customHeight="1" spans="2:8">
      <c r="B2900" s="98"/>
      <c r="C2900" s="98"/>
      <c r="D2900" s="98"/>
      <c r="E2900" s="98"/>
      <c r="F2900" s="99"/>
      <c r="G2900" s="100"/>
      <c r="H2900" s="100"/>
    </row>
    <row r="2901" customHeight="1" spans="2:8">
      <c r="B2901" s="98"/>
      <c r="C2901" s="98"/>
      <c r="D2901" s="98"/>
      <c r="E2901" s="98"/>
      <c r="F2901" s="99"/>
      <c r="G2901" s="100"/>
      <c r="H2901" s="100"/>
    </row>
    <row r="2902" customHeight="1" spans="2:8">
      <c r="B2902" s="98"/>
      <c r="C2902" s="98"/>
      <c r="D2902" s="98"/>
      <c r="E2902" s="98"/>
      <c r="F2902" s="99"/>
      <c r="G2902" s="100"/>
      <c r="H2902" s="100"/>
    </row>
    <row r="2903" customHeight="1" spans="2:8">
      <c r="B2903" s="98"/>
      <c r="C2903" s="98"/>
      <c r="D2903" s="98"/>
      <c r="E2903" s="98"/>
      <c r="F2903" s="99"/>
      <c r="G2903" s="100"/>
      <c r="H2903" s="100"/>
    </row>
    <row r="2904" customHeight="1" spans="2:8">
      <c r="B2904" s="98"/>
      <c r="C2904" s="98"/>
      <c r="D2904" s="98"/>
      <c r="E2904" s="98"/>
      <c r="F2904" s="99"/>
      <c r="G2904" s="100"/>
      <c r="H2904" s="100"/>
    </row>
    <row r="2905" customHeight="1" spans="2:8">
      <c r="B2905" s="98"/>
      <c r="C2905" s="98"/>
      <c r="D2905" s="98"/>
      <c r="E2905" s="98"/>
      <c r="F2905" s="99"/>
      <c r="G2905" s="100"/>
      <c r="H2905" s="100"/>
    </row>
    <row r="2906" customHeight="1" spans="2:8">
      <c r="B2906" s="98"/>
      <c r="C2906" s="98"/>
      <c r="D2906" s="98"/>
      <c r="E2906" s="98"/>
      <c r="F2906" s="99"/>
      <c r="G2906" s="100"/>
      <c r="H2906" s="100"/>
    </row>
    <row r="2907" customHeight="1" spans="2:8">
      <c r="B2907" s="98"/>
      <c r="C2907" s="98"/>
      <c r="D2907" s="98"/>
      <c r="E2907" s="98"/>
      <c r="F2907" s="99"/>
      <c r="G2907" s="100"/>
      <c r="H2907" s="100"/>
    </row>
    <row r="2908" customHeight="1" spans="2:8">
      <c r="B2908" s="98"/>
      <c r="C2908" s="98"/>
      <c r="D2908" s="98"/>
      <c r="E2908" s="98"/>
      <c r="F2908" s="99"/>
      <c r="G2908" s="100"/>
      <c r="H2908" s="100"/>
    </row>
    <row r="2909" customHeight="1" spans="2:8">
      <c r="B2909" s="98"/>
      <c r="C2909" s="98"/>
      <c r="D2909" s="98"/>
      <c r="E2909" s="98"/>
      <c r="F2909" s="99"/>
      <c r="G2909" s="100"/>
      <c r="H2909" s="100"/>
    </row>
    <row r="2910" customHeight="1" spans="2:8">
      <c r="B2910" s="98"/>
      <c r="C2910" s="98"/>
      <c r="D2910" s="98"/>
      <c r="E2910" s="98"/>
      <c r="F2910" s="99"/>
      <c r="G2910" s="100"/>
      <c r="H2910" s="100"/>
    </row>
    <row r="2911" customHeight="1" spans="2:8">
      <c r="B2911" s="98"/>
      <c r="C2911" s="98"/>
      <c r="D2911" s="98"/>
      <c r="E2911" s="98"/>
      <c r="F2911" s="99"/>
      <c r="G2911" s="100"/>
      <c r="H2911" s="100"/>
    </row>
    <row r="2912" customHeight="1" spans="2:8">
      <c r="B2912" s="98"/>
      <c r="C2912" s="98"/>
      <c r="D2912" s="98"/>
      <c r="E2912" s="98"/>
      <c r="F2912" s="99"/>
      <c r="G2912" s="100"/>
      <c r="H2912" s="100"/>
    </row>
    <row r="2913" customHeight="1" spans="2:8">
      <c r="B2913" s="98"/>
      <c r="C2913" s="98"/>
      <c r="D2913" s="98"/>
      <c r="E2913" s="98"/>
      <c r="F2913" s="99"/>
      <c r="G2913" s="100"/>
      <c r="H2913" s="100"/>
    </row>
    <row r="2914" customHeight="1" spans="2:8">
      <c r="B2914" s="98"/>
      <c r="C2914" s="98"/>
      <c r="D2914" s="98"/>
      <c r="E2914" s="98"/>
      <c r="F2914" s="99"/>
      <c r="G2914" s="100"/>
      <c r="H2914" s="100"/>
    </row>
    <row r="2915" customHeight="1" spans="2:8">
      <c r="B2915" s="98"/>
      <c r="C2915" s="98"/>
      <c r="D2915" s="98"/>
      <c r="E2915" s="98"/>
      <c r="F2915" s="99"/>
      <c r="G2915" s="100"/>
      <c r="H2915" s="100"/>
    </row>
    <row r="2916" customHeight="1" spans="2:8">
      <c r="B2916" s="98"/>
      <c r="C2916" s="98"/>
      <c r="D2916" s="98"/>
      <c r="E2916" s="98"/>
      <c r="F2916" s="99"/>
      <c r="G2916" s="100"/>
      <c r="H2916" s="100"/>
    </row>
    <row r="2917" customHeight="1" spans="2:8">
      <c r="B2917" s="98"/>
      <c r="C2917" s="98"/>
      <c r="D2917" s="98"/>
      <c r="E2917" s="98"/>
      <c r="F2917" s="99"/>
      <c r="G2917" s="100"/>
      <c r="H2917" s="100"/>
    </row>
    <row r="2918" customHeight="1" spans="2:8">
      <c r="B2918" s="98"/>
      <c r="C2918" s="98"/>
      <c r="D2918" s="98"/>
      <c r="E2918" s="98"/>
      <c r="F2918" s="99"/>
      <c r="G2918" s="100"/>
      <c r="H2918" s="100"/>
    </row>
    <row r="2919" customHeight="1" spans="2:8">
      <c r="B2919" s="98"/>
      <c r="C2919" s="98"/>
      <c r="D2919" s="98"/>
      <c r="E2919" s="98"/>
      <c r="F2919" s="99"/>
      <c r="G2919" s="100"/>
      <c r="H2919" s="100"/>
    </row>
    <row r="2920" customHeight="1" spans="2:8">
      <c r="B2920" s="98"/>
      <c r="C2920" s="98"/>
      <c r="D2920" s="98"/>
      <c r="E2920" s="98"/>
      <c r="F2920" s="99"/>
      <c r="G2920" s="100"/>
      <c r="H2920" s="100"/>
    </row>
    <row r="2921" customHeight="1" spans="2:8">
      <c r="B2921" s="98"/>
      <c r="C2921" s="98"/>
      <c r="D2921" s="98"/>
      <c r="E2921" s="98"/>
      <c r="F2921" s="99"/>
      <c r="G2921" s="100"/>
      <c r="H2921" s="100"/>
    </row>
    <row r="2922" customHeight="1" spans="2:8">
      <c r="B2922" s="98"/>
      <c r="C2922" s="98"/>
      <c r="D2922" s="98"/>
      <c r="E2922" s="98"/>
      <c r="F2922" s="99"/>
      <c r="G2922" s="100"/>
      <c r="H2922" s="100"/>
    </row>
    <row r="2923" customHeight="1" spans="2:8">
      <c r="B2923" s="98"/>
      <c r="C2923" s="98"/>
      <c r="D2923" s="98"/>
      <c r="E2923" s="98"/>
      <c r="F2923" s="99"/>
      <c r="G2923" s="100"/>
      <c r="H2923" s="100"/>
    </row>
    <row r="2924" customHeight="1" spans="2:8">
      <c r="B2924" s="98"/>
      <c r="C2924" s="98"/>
      <c r="D2924" s="98"/>
      <c r="E2924" s="98"/>
      <c r="F2924" s="99"/>
      <c r="G2924" s="100"/>
      <c r="H2924" s="100"/>
    </row>
    <row r="2925" customHeight="1" spans="2:8">
      <c r="B2925" s="98"/>
      <c r="C2925" s="98"/>
      <c r="D2925" s="98"/>
      <c r="E2925" s="98"/>
      <c r="F2925" s="99"/>
      <c r="G2925" s="100"/>
      <c r="H2925" s="100"/>
    </row>
    <row r="2926" customHeight="1" spans="2:8">
      <c r="B2926" s="98"/>
      <c r="C2926" s="98"/>
      <c r="D2926" s="98"/>
      <c r="E2926" s="98"/>
      <c r="F2926" s="99"/>
      <c r="G2926" s="100"/>
      <c r="H2926" s="100"/>
    </row>
    <row r="2927" customHeight="1" spans="2:8">
      <c r="B2927" s="98"/>
      <c r="C2927" s="98"/>
      <c r="D2927" s="98"/>
      <c r="E2927" s="98"/>
      <c r="F2927" s="99"/>
      <c r="G2927" s="100"/>
      <c r="H2927" s="100"/>
    </row>
    <row r="2928" customHeight="1" spans="2:8">
      <c r="B2928" s="98"/>
      <c r="C2928" s="98"/>
      <c r="D2928" s="98"/>
      <c r="E2928" s="98"/>
      <c r="F2928" s="99"/>
      <c r="G2928" s="100"/>
      <c r="H2928" s="100"/>
    </row>
    <row r="2929" customHeight="1" spans="2:8">
      <c r="B2929" s="98"/>
      <c r="C2929" s="98"/>
      <c r="D2929" s="98"/>
      <c r="E2929" s="98"/>
      <c r="F2929" s="99"/>
      <c r="G2929" s="100"/>
      <c r="H2929" s="100"/>
    </row>
    <row r="2930" customHeight="1" spans="2:8">
      <c r="B2930" s="98"/>
      <c r="C2930" s="98"/>
      <c r="D2930" s="98"/>
      <c r="E2930" s="98"/>
      <c r="F2930" s="99"/>
      <c r="G2930" s="100"/>
      <c r="H2930" s="100"/>
    </row>
    <row r="2931" customHeight="1" spans="2:8">
      <c r="B2931" s="98"/>
      <c r="C2931" s="98"/>
      <c r="D2931" s="98"/>
      <c r="E2931" s="98"/>
      <c r="F2931" s="99"/>
      <c r="G2931" s="100"/>
      <c r="H2931" s="100"/>
    </row>
    <row r="2932" customHeight="1" spans="2:8">
      <c r="B2932" s="98"/>
      <c r="C2932" s="98"/>
      <c r="D2932" s="98"/>
      <c r="E2932" s="98"/>
      <c r="F2932" s="99"/>
      <c r="G2932" s="100"/>
      <c r="H2932" s="100"/>
    </row>
    <row r="2933" customHeight="1" spans="2:8">
      <c r="B2933" s="98"/>
      <c r="C2933" s="98"/>
      <c r="D2933" s="98"/>
      <c r="E2933" s="98"/>
      <c r="F2933" s="99"/>
      <c r="G2933" s="100"/>
      <c r="H2933" s="100"/>
    </row>
    <row r="2934" customHeight="1" spans="2:8">
      <c r="B2934" s="98"/>
      <c r="C2934" s="98"/>
      <c r="D2934" s="98"/>
      <c r="E2934" s="98"/>
      <c r="F2934" s="99"/>
      <c r="G2934" s="100"/>
      <c r="H2934" s="100"/>
    </row>
    <row r="2935" customHeight="1" spans="2:8">
      <c r="B2935" s="98"/>
      <c r="C2935" s="98"/>
      <c r="D2935" s="98"/>
      <c r="E2935" s="98"/>
      <c r="F2935" s="99"/>
      <c r="G2935" s="100"/>
      <c r="H2935" s="100"/>
    </row>
    <row r="2936" customHeight="1" spans="2:8">
      <c r="B2936" s="98"/>
      <c r="C2936" s="98"/>
      <c r="D2936" s="98"/>
      <c r="E2936" s="98"/>
      <c r="F2936" s="99"/>
      <c r="G2936" s="100"/>
      <c r="H2936" s="100"/>
    </row>
    <row r="2937" customHeight="1" spans="2:8">
      <c r="B2937" s="98"/>
      <c r="C2937" s="98"/>
      <c r="D2937" s="98"/>
      <c r="E2937" s="98"/>
      <c r="F2937" s="99"/>
      <c r="G2937" s="100"/>
      <c r="H2937" s="100"/>
    </row>
    <row r="2938" customHeight="1" spans="2:8">
      <c r="B2938" s="98"/>
      <c r="C2938" s="98"/>
      <c r="D2938" s="98"/>
      <c r="E2938" s="98"/>
      <c r="F2938" s="99"/>
      <c r="G2938" s="100"/>
      <c r="H2938" s="100"/>
    </row>
    <row r="2939" customHeight="1" spans="2:8">
      <c r="B2939" s="98"/>
      <c r="C2939" s="98"/>
      <c r="D2939" s="98"/>
      <c r="E2939" s="98"/>
      <c r="F2939" s="99"/>
      <c r="G2939" s="100"/>
      <c r="H2939" s="100"/>
    </row>
    <row r="2940" customHeight="1" spans="2:8">
      <c r="B2940" s="98"/>
      <c r="C2940" s="98"/>
      <c r="D2940" s="98"/>
      <c r="E2940" s="98"/>
      <c r="F2940" s="99"/>
      <c r="G2940" s="100"/>
      <c r="H2940" s="100"/>
    </row>
    <row r="2941" customHeight="1" spans="2:8">
      <c r="B2941" s="98"/>
      <c r="C2941" s="98"/>
      <c r="D2941" s="98"/>
      <c r="E2941" s="98"/>
      <c r="F2941" s="99"/>
      <c r="G2941" s="100"/>
      <c r="H2941" s="100"/>
    </row>
    <row r="2942" customHeight="1" spans="2:8">
      <c r="B2942" s="98"/>
      <c r="C2942" s="98"/>
      <c r="D2942" s="98"/>
      <c r="E2942" s="98"/>
      <c r="F2942" s="99"/>
      <c r="G2942" s="100"/>
      <c r="H2942" s="100"/>
    </row>
    <row r="2943" customHeight="1" spans="2:8">
      <c r="B2943" s="98"/>
      <c r="C2943" s="98"/>
      <c r="D2943" s="98"/>
      <c r="E2943" s="98"/>
      <c r="F2943" s="99"/>
      <c r="G2943" s="100"/>
      <c r="H2943" s="100"/>
    </row>
    <row r="2944" customHeight="1" spans="2:8">
      <c r="B2944" s="98"/>
      <c r="C2944" s="98"/>
      <c r="D2944" s="98"/>
      <c r="E2944" s="98"/>
      <c r="F2944" s="99"/>
      <c r="G2944" s="100"/>
      <c r="H2944" s="100"/>
    </row>
    <row r="2945" customHeight="1" spans="2:8">
      <c r="B2945" s="98"/>
      <c r="C2945" s="98"/>
      <c r="D2945" s="98"/>
      <c r="E2945" s="98"/>
      <c r="F2945" s="99"/>
      <c r="G2945" s="100"/>
      <c r="H2945" s="100"/>
    </row>
    <row r="2946" customHeight="1" spans="2:8">
      <c r="B2946" s="98"/>
      <c r="C2946" s="98"/>
      <c r="D2946" s="98"/>
      <c r="E2946" s="98"/>
      <c r="F2946" s="99"/>
      <c r="G2946" s="100"/>
      <c r="H2946" s="100"/>
    </row>
    <row r="2947" customHeight="1" spans="2:8">
      <c r="B2947" s="98"/>
      <c r="C2947" s="98"/>
      <c r="D2947" s="98"/>
      <c r="E2947" s="98"/>
      <c r="F2947" s="99"/>
      <c r="G2947" s="100"/>
      <c r="H2947" s="100"/>
    </row>
    <row r="2948" customHeight="1" spans="2:8">
      <c r="B2948" s="98"/>
      <c r="C2948" s="98"/>
      <c r="D2948" s="98"/>
      <c r="E2948" s="98"/>
      <c r="F2948" s="99"/>
      <c r="G2948" s="100"/>
      <c r="H2948" s="100"/>
    </row>
    <row r="2949" customHeight="1" spans="2:8">
      <c r="B2949" s="98"/>
      <c r="C2949" s="98"/>
      <c r="D2949" s="98"/>
      <c r="E2949" s="98"/>
      <c r="F2949" s="99"/>
      <c r="G2949" s="100"/>
      <c r="H2949" s="100"/>
    </row>
    <row r="2950" customHeight="1" spans="2:8">
      <c r="B2950" s="98"/>
      <c r="C2950" s="98"/>
      <c r="D2950" s="98"/>
      <c r="E2950" s="98"/>
      <c r="F2950" s="99"/>
      <c r="G2950" s="100"/>
      <c r="H2950" s="100"/>
    </row>
    <row r="2951" customHeight="1" spans="2:8">
      <c r="B2951" s="98"/>
      <c r="C2951" s="98"/>
      <c r="D2951" s="98"/>
      <c r="E2951" s="98"/>
      <c r="F2951" s="99"/>
      <c r="G2951" s="100"/>
      <c r="H2951" s="100"/>
    </row>
    <row r="2952" customHeight="1" spans="2:8">
      <c r="B2952" s="98"/>
      <c r="C2952" s="98"/>
      <c r="D2952" s="98"/>
      <c r="E2952" s="98"/>
      <c r="F2952" s="99"/>
      <c r="G2952" s="100"/>
      <c r="H2952" s="100"/>
    </row>
    <row r="2953" customHeight="1" spans="2:8">
      <c r="B2953" s="98"/>
      <c r="C2953" s="98"/>
      <c r="D2953" s="98"/>
      <c r="E2953" s="98"/>
      <c r="F2953" s="99"/>
      <c r="G2953" s="100"/>
      <c r="H2953" s="100"/>
    </row>
    <row r="2954" customHeight="1" spans="2:8">
      <c r="B2954" s="98"/>
      <c r="C2954" s="98"/>
      <c r="D2954" s="98"/>
      <c r="E2954" s="98"/>
      <c r="F2954" s="99"/>
      <c r="G2954" s="100"/>
      <c r="H2954" s="100"/>
    </row>
    <row r="2955" customHeight="1" spans="2:8">
      <c r="B2955" s="98"/>
      <c r="C2955" s="98"/>
      <c r="D2955" s="98"/>
      <c r="E2955" s="98"/>
      <c r="F2955" s="99"/>
      <c r="G2955" s="100"/>
      <c r="H2955" s="100"/>
    </row>
    <row r="2956" customHeight="1" spans="2:8">
      <c r="B2956" s="98"/>
      <c r="C2956" s="98"/>
      <c r="D2956" s="98"/>
      <c r="E2956" s="98"/>
      <c r="F2956" s="99"/>
      <c r="G2956" s="100"/>
      <c r="H2956" s="100"/>
    </row>
    <row r="2957" customHeight="1" spans="2:8">
      <c r="B2957" s="98"/>
      <c r="C2957" s="98"/>
      <c r="D2957" s="98"/>
      <c r="E2957" s="98"/>
      <c r="F2957" s="99"/>
      <c r="G2957" s="100"/>
      <c r="H2957" s="100"/>
    </row>
    <row r="2958" customHeight="1" spans="2:8">
      <c r="B2958" s="98"/>
      <c r="C2958" s="98"/>
      <c r="D2958" s="98"/>
      <c r="E2958" s="98"/>
      <c r="F2958" s="99"/>
      <c r="G2958" s="100"/>
      <c r="H2958" s="100"/>
    </row>
    <row r="2959" customHeight="1" spans="2:8">
      <c r="B2959" s="98"/>
      <c r="C2959" s="98"/>
      <c r="D2959" s="98"/>
      <c r="E2959" s="98"/>
      <c r="F2959" s="99"/>
      <c r="G2959" s="100"/>
      <c r="H2959" s="100"/>
    </row>
    <row r="2960" customHeight="1" spans="2:8">
      <c r="B2960" s="98"/>
      <c r="C2960" s="98"/>
      <c r="D2960" s="98"/>
      <c r="E2960" s="98"/>
      <c r="F2960" s="99"/>
      <c r="G2960" s="100"/>
      <c r="H2960" s="100"/>
    </row>
    <row r="2961" customHeight="1" spans="2:8">
      <c r="B2961" s="98"/>
      <c r="C2961" s="98"/>
      <c r="D2961" s="98"/>
      <c r="E2961" s="98"/>
      <c r="F2961" s="99"/>
      <c r="G2961" s="100"/>
      <c r="H2961" s="100"/>
    </row>
    <row r="2962" customHeight="1" spans="2:8">
      <c r="B2962" s="98"/>
      <c r="C2962" s="98"/>
      <c r="D2962" s="98"/>
      <c r="E2962" s="98"/>
      <c r="F2962" s="99"/>
      <c r="G2962" s="100"/>
      <c r="H2962" s="100"/>
    </row>
    <row r="2963" customHeight="1" spans="2:8">
      <c r="B2963" s="98"/>
      <c r="C2963" s="98"/>
      <c r="D2963" s="98"/>
      <c r="E2963" s="98"/>
      <c r="F2963" s="99"/>
      <c r="G2963" s="100"/>
      <c r="H2963" s="100"/>
    </row>
    <row r="2964" customHeight="1" spans="2:8">
      <c r="B2964" s="98"/>
      <c r="C2964" s="98"/>
      <c r="D2964" s="98"/>
      <c r="E2964" s="98"/>
      <c r="F2964" s="99"/>
      <c r="G2964" s="100"/>
      <c r="H2964" s="100"/>
    </row>
    <row r="2965" customHeight="1" spans="2:8">
      <c r="B2965" s="98"/>
      <c r="C2965" s="98"/>
      <c r="D2965" s="98"/>
      <c r="E2965" s="98"/>
      <c r="F2965" s="99"/>
      <c r="G2965" s="100"/>
      <c r="H2965" s="100"/>
    </row>
    <row r="2966" customHeight="1" spans="2:8">
      <c r="B2966" s="98"/>
      <c r="C2966" s="98"/>
      <c r="D2966" s="98"/>
      <c r="E2966" s="98"/>
      <c r="F2966" s="99"/>
      <c r="G2966" s="100"/>
      <c r="H2966" s="100"/>
    </row>
    <row r="2967" customHeight="1" spans="2:8">
      <c r="B2967" s="98"/>
      <c r="C2967" s="98"/>
      <c r="D2967" s="98"/>
      <c r="E2967" s="98"/>
      <c r="F2967" s="99"/>
      <c r="G2967" s="100"/>
      <c r="H2967" s="100"/>
    </row>
    <row r="2968" customHeight="1" spans="2:8">
      <c r="B2968" s="98"/>
      <c r="C2968" s="98"/>
      <c r="D2968" s="98"/>
      <c r="E2968" s="98"/>
      <c r="F2968" s="99"/>
      <c r="G2968" s="100"/>
      <c r="H2968" s="100"/>
    </row>
    <row r="2969" customHeight="1" spans="2:8">
      <c r="B2969" s="98"/>
      <c r="C2969" s="98"/>
      <c r="D2969" s="98"/>
      <c r="E2969" s="98"/>
      <c r="F2969" s="99"/>
      <c r="G2969" s="100"/>
      <c r="H2969" s="100"/>
    </row>
    <row r="2970" customHeight="1" spans="2:8">
      <c r="B2970" s="98"/>
      <c r="C2970" s="98"/>
      <c r="D2970" s="98"/>
      <c r="E2970" s="98"/>
      <c r="F2970" s="99"/>
      <c r="G2970" s="100"/>
      <c r="H2970" s="100"/>
    </row>
    <row r="2971" customHeight="1" spans="2:8">
      <c r="B2971" s="98"/>
      <c r="C2971" s="98"/>
      <c r="D2971" s="98"/>
      <c r="E2971" s="98"/>
      <c r="F2971" s="99"/>
      <c r="G2971" s="100"/>
      <c r="H2971" s="100"/>
    </row>
    <row r="2972" customHeight="1" spans="2:8">
      <c r="B2972" s="98"/>
      <c r="C2972" s="98"/>
      <c r="D2972" s="98"/>
      <c r="E2972" s="98"/>
      <c r="F2972" s="99"/>
      <c r="G2972" s="100"/>
      <c r="H2972" s="100"/>
    </row>
    <row r="2973" customHeight="1" spans="2:8">
      <c r="B2973" s="98"/>
      <c r="C2973" s="98"/>
      <c r="D2973" s="98"/>
      <c r="E2973" s="98"/>
      <c r="F2973" s="99"/>
      <c r="G2973" s="100"/>
      <c r="H2973" s="100"/>
    </row>
    <row r="2974" customHeight="1" spans="2:8">
      <c r="B2974" s="98"/>
      <c r="C2974" s="98"/>
      <c r="D2974" s="98"/>
      <c r="E2974" s="98"/>
      <c r="F2974" s="99"/>
      <c r="G2974" s="100"/>
      <c r="H2974" s="100"/>
    </row>
    <row r="2975" customHeight="1" spans="2:8">
      <c r="B2975" s="98"/>
      <c r="C2975" s="98"/>
      <c r="D2975" s="98"/>
      <c r="E2975" s="98"/>
      <c r="F2975" s="99"/>
      <c r="G2975" s="100"/>
      <c r="H2975" s="100"/>
    </row>
    <row r="2976" customHeight="1" spans="2:8">
      <c r="B2976" s="98"/>
      <c r="C2976" s="98"/>
      <c r="D2976" s="98"/>
      <c r="E2976" s="98"/>
      <c r="F2976" s="99"/>
      <c r="G2976" s="100"/>
      <c r="H2976" s="100"/>
    </row>
    <row r="2977" customHeight="1" spans="2:8">
      <c r="B2977" s="98"/>
      <c r="C2977" s="98"/>
      <c r="D2977" s="98"/>
      <c r="E2977" s="98"/>
      <c r="F2977" s="99"/>
      <c r="G2977" s="100"/>
      <c r="H2977" s="100"/>
    </row>
    <row r="2978" customHeight="1" spans="2:8">
      <c r="B2978" s="98"/>
      <c r="C2978" s="98"/>
      <c r="D2978" s="98"/>
      <c r="E2978" s="98"/>
      <c r="F2978" s="99"/>
      <c r="G2978" s="100"/>
      <c r="H2978" s="100"/>
    </row>
    <row r="2979" customHeight="1" spans="2:8">
      <c r="B2979" s="98"/>
      <c r="C2979" s="98"/>
      <c r="D2979" s="98"/>
      <c r="E2979" s="98"/>
      <c r="F2979" s="99"/>
      <c r="G2979" s="100"/>
      <c r="H2979" s="100"/>
    </row>
    <row r="2980" customHeight="1" spans="2:8">
      <c r="B2980" s="98"/>
      <c r="C2980" s="98"/>
      <c r="D2980" s="98"/>
      <c r="E2980" s="98"/>
      <c r="F2980" s="99"/>
      <c r="G2980" s="100"/>
      <c r="H2980" s="100"/>
    </row>
    <row r="2981" customHeight="1" spans="2:8">
      <c r="B2981" s="98"/>
      <c r="C2981" s="98"/>
      <c r="D2981" s="98"/>
      <c r="E2981" s="98"/>
      <c r="F2981" s="99"/>
      <c r="G2981" s="100"/>
      <c r="H2981" s="100"/>
    </row>
    <row r="2982" customHeight="1" spans="2:8">
      <c r="B2982" s="98"/>
      <c r="C2982" s="98"/>
      <c r="D2982" s="98"/>
      <c r="E2982" s="98"/>
      <c r="F2982" s="99"/>
      <c r="G2982" s="100"/>
      <c r="H2982" s="100"/>
    </row>
    <row r="2983" customHeight="1" spans="2:8">
      <c r="B2983" s="98"/>
      <c r="C2983" s="98"/>
      <c r="D2983" s="98"/>
      <c r="E2983" s="98"/>
      <c r="F2983" s="99"/>
      <c r="G2983" s="100"/>
      <c r="H2983" s="100"/>
    </row>
    <row r="2984" customHeight="1" spans="2:8">
      <c r="B2984" s="98"/>
      <c r="C2984" s="98"/>
      <c r="D2984" s="98"/>
      <c r="E2984" s="98"/>
      <c r="F2984" s="99"/>
      <c r="G2984" s="100"/>
      <c r="H2984" s="100"/>
    </row>
    <row r="2985" customHeight="1" spans="2:8">
      <c r="B2985" s="98"/>
      <c r="C2985" s="98"/>
      <c r="D2985" s="98"/>
      <c r="E2985" s="98"/>
      <c r="F2985" s="99"/>
      <c r="G2985" s="100"/>
      <c r="H2985" s="100"/>
    </row>
    <row r="2986" customHeight="1" spans="2:8">
      <c r="B2986" s="98"/>
      <c r="C2986" s="98"/>
      <c r="D2986" s="98"/>
      <c r="E2986" s="98"/>
      <c r="F2986" s="99"/>
      <c r="G2986" s="100"/>
      <c r="H2986" s="100"/>
    </row>
    <row r="2987" customHeight="1" spans="2:8">
      <c r="B2987" s="98"/>
      <c r="C2987" s="98"/>
      <c r="D2987" s="98"/>
      <c r="E2987" s="98"/>
      <c r="F2987" s="99"/>
      <c r="G2987" s="100"/>
      <c r="H2987" s="100"/>
    </row>
    <row r="2988" customHeight="1" spans="2:8">
      <c r="B2988" s="98"/>
      <c r="C2988" s="98"/>
      <c r="D2988" s="98"/>
      <c r="E2988" s="98"/>
      <c r="F2988" s="99"/>
      <c r="G2988" s="100"/>
      <c r="H2988" s="100"/>
    </row>
    <row r="2989" customHeight="1" spans="2:8">
      <c r="B2989" s="98"/>
      <c r="C2989" s="98"/>
      <c r="D2989" s="98"/>
      <c r="E2989" s="98"/>
      <c r="F2989" s="99"/>
      <c r="G2989" s="100"/>
      <c r="H2989" s="100"/>
    </row>
    <row r="2990" customHeight="1" spans="2:8">
      <c r="B2990" s="98"/>
      <c r="C2990" s="98"/>
      <c r="D2990" s="98"/>
      <c r="E2990" s="98"/>
      <c r="F2990" s="99"/>
      <c r="G2990" s="100"/>
      <c r="H2990" s="100"/>
    </row>
    <row r="2991" customHeight="1" spans="2:8">
      <c r="B2991" s="98"/>
      <c r="C2991" s="98"/>
      <c r="D2991" s="98"/>
      <c r="E2991" s="98"/>
      <c r="F2991" s="99"/>
      <c r="G2991" s="100"/>
      <c r="H2991" s="100"/>
    </row>
    <row r="2992" customHeight="1" spans="2:8">
      <c r="B2992" s="98"/>
      <c r="C2992" s="98"/>
      <c r="D2992" s="98"/>
      <c r="E2992" s="98"/>
      <c r="F2992" s="99"/>
      <c r="G2992" s="100"/>
      <c r="H2992" s="100"/>
    </row>
    <row r="2993" customHeight="1" spans="2:8">
      <c r="B2993" s="98"/>
      <c r="C2993" s="98"/>
      <c r="D2993" s="98"/>
      <c r="E2993" s="98"/>
      <c r="F2993" s="99"/>
      <c r="G2993" s="100"/>
      <c r="H2993" s="100"/>
    </row>
    <row r="2994" customHeight="1" spans="2:8">
      <c r="B2994" s="98"/>
      <c r="C2994" s="98"/>
      <c r="D2994" s="98"/>
      <c r="E2994" s="98"/>
      <c r="F2994" s="99"/>
      <c r="G2994" s="100"/>
      <c r="H2994" s="100"/>
    </row>
    <row r="2995" customHeight="1" spans="2:8">
      <c r="B2995" s="98"/>
      <c r="C2995" s="98"/>
      <c r="D2995" s="98"/>
      <c r="E2995" s="98"/>
      <c r="F2995" s="99"/>
      <c r="G2995" s="100"/>
      <c r="H2995" s="100"/>
    </row>
    <row r="2996" customHeight="1" spans="2:8">
      <c r="B2996" s="98"/>
      <c r="C2996" s="98"/>
      <c r="D2996" s="98"/>
      <c r="E2996" s="98"/>
      <c r="F2996" s="99"/>
      <c r="G2996" s="100"/>
      <c r="H2996" s="100"/>
    </row>
    <row r="2997" customHeight="1" spans="2:8">
      <c r="B2997" s="98"/>
      <c r="C2997" s="98"/>
      <c r="D2997" s="98"/>
      <c r="E2997" s="98"/>
      <c r="F2997" s="99"/>
      <c r="G2997" s="100"/>
      <c r="H2997" s="100"/>
    </row>
    <row r="2998" customHeight="1" spans="2:8">
      <c r="B2998" s="98"/>
      <c r="C2998" s="98"/>
      <c r="D2998" s="98"/>
      <c r="E2998" s="98"/>
      <c r="F2998" s="99"/>
      <c r="G2998" s="100"/>
      <c r="H2998" s="100"/>
    </row>
    <row r="2999" customHeight="1" spans="2:8">
      <c r="B2999" s="98"/>
      <c r="C2999" s="98"/>
      <c r="D2999" s="98"/>
      <c r="E2999" s="98"/>
      <c r="F2999" s="99"/>
      <c r="G2999" s="100"/>
      <c r="H2999" s="100"/>
    </row>
    <row r="3000" customHeight="1" spans="2:8">
      <c r="B3000" s="98"/>
      <c r="C3000" s="98"/>
      <c r="D3000" s="98"/>
      <c r="E3000" s="98"/>
      <c r="F3000" s="99"/>
      <c r="G3000" s="100"/>
      <c r="H3000" s="100"/>
    </row>
    <row r="3001" customHeight="1" spans="2:8">
      <c r="B3001" s="98"/>
      <c r="C3001" s="98"/>
      <c r="D3001" s="98"/>
      <c r="E3001" s="98"/>
      <c r="F3001" s="99"/>
      <c r="G3001" s="100"/>
      <c r="H3001" s="100"/>
    </row>
    <row r="3002" customHeight="1" spans="2:8">
      <c r="B3002" s="98"/>
      <c r="C3002" s="98"/>
      <c r="D3002" s="98"/>
      <c r="E3002" s="98"/>
      <c r="F3002" s="99"/>
      <c r="G3002" s="100"/>
      <c r="H3002" s="100"/>
    </row>
    <row r="3003" customHeight="1" spans="2:8">
      <c r="B3003" s="98"/>
      <c r="C3003" s="98"/>
      <c r="D3003" s="98"/>
      <c r="E3003" s="98"/>
      <c r="F3003" s="99"/>
      <c r="G3003" s="100"/>
      <c r="H3003" s="100"/>
    </row>
    <row r="3004" customHeight="1" spans="2:8">
      <c r="B3004" s="98"/>
      <c r="C3004" s="98"/>
      <c r="D3004" s="98"/>
      <c r="E3004" s="98"/>
      <c r="F3004" s="99"/>
      <c r="G3004" s="100"/>
      <c r="H3004" s="100"/>
    </row>
    <row r="3005" customHeight="1" spans="2:8">
      <c r="B3005" s="98"/>
      <c r="C3005" s="98"/>
      <c r="D3005" s="98"/>
      <c r="E3005" s="98"/>
      <c r="F3005" s="99"/>
      <c r="G3005" s="100"/>
      <c r="H3005" s="100"/>
    </row>
    <row r="3006" customHeight="1" spans="2:8">
      <c r="B3006" s="98"/>
      <c r="C3006" s="98"/>
      <c r="D3006" s="98"/>
      <c r="E3006" s="98"/>
      <c r="F3006" s="99"/>
      <c r="G3006" s="100"/>
      <c r="H3006" s="100"/>
    </row>
    <row r="3007" customHeight="1" spans="2:8">
      <c r="B3007" s="98"/>
      <c r="C3007" s="98"/>
      <c r="D3007" s="98"/>
      <c r="E3007" s="98"/>
      <c r="F3007" s="99"/>
      <c r="G3007" s="100"/>
      <c r="H3007" s="100"/>
    </row>
    <row r="3008" customHeight="1" spans="2:8">
      <c r="B3008" s="98"/>
      <c r="C3008" s="98"/>
      <c r="D3008" s="98"/>
      <c r="E3008" s="98"/>
      <c r="F3008" s="99"/>
      <c r="G3008" s="100"/>
      <c r="H3008" s="100"/>
    </row>
    <row r="3009" customHeight="1" spans="2:8">
      <c r="B3009" s="98"/>
      <c r="C3009" s="98"/>
      <c r="D3009" s="98"/>
      <c r="E3009" s="98"/>
      <c r="F3009" s="99"/>
      <c r="G3009" s="100"/>
      <c r="H3009" s="100"/>
    </row>
    <row r="3010" customHeight="1" spans="2:8">
      <c r="B3010" s="98"/>
      <c r="C3010" s="98"/>
      <c r="D3010" s="98"/>
      <c r="E3010" s="98"/>
      <c r="F3010" s="99"/>
      <c r="G3010" s="100"/>
      <c r="H3010" s="100"/>
    </row>
    <row r="3011" customHeight="1" spans="2:8">
      <c r="B3011" s="98"/>
      <c r="C3011" s="98"/>
      <c r="D3011" s="98"/>
      <c r="E3011" s="98"/>
      <c r="F3011" s="99"/>
      <c r="G3011" s="100"/>
      <c r="H3011" s="100"/>
    </row>
    <row r="3012" customHeight="1" spans="2:8">
      <c r="B3012" s="98"/>
      <c r="C3012" s="98"/>
      <c r="D3012" s="98"/>
      <c r="E3012" s="98"/>
      <c r="F3012" s="99"/>
      <c r="G3012" s="100"/>
      <c r="H3012" s="100"/>
    </row>
    <row r="3013" customHeight="1" spans="2:8">
      <c r="B3013" s="98"/>
      <c r="C3013" s="98"/>
      <c r="D3013" s="98"/>
      <c r="E3013" s="98"/>
      <c r="F3013" s="99"/>
      <c r="G3013" s="100"/>
      <c r="H3013" s="100"/>
    </row>
    <row r="3014" customHeight="1" spans="2:8">
      <c r="B3014" s="98"/>
      <c r="C3014" s="98"/>
      <c r="D3014" s="98"/>
      <c r="E3014" s="98"/>
      <c r="F3014" s="99"/>
      <c r="G3014" s="100"/>
      <c r="H3014" s="100"/>
    </row>
    <row r="3015" customHeight="1" spans="2:8">
      <c r="B3015" s="98"/>
      <c r="C3015" s="98"/>
      <c r="D3015" s="98"/>
      <c r="E3015" s="98"/>
      <c r="F3015" s="99"/>
      <c r="G3015" s="100"/>
      <c r="H3015" s="100"/>
    </row>
    <row r="3016" customHeight="1" spans="2:8">
      <c r="B3016" s="98"/>
      <c r="C3016" s="98"/>
      <c r="D3016" s="98"/>
      <c r="E3016" s="98"/>
      <c r="F3016" s="99"/>
      <c r="G3016" s="100"/>
      <c r="H3016" s="100"/>
    </row>
    <row r="3017" customHeight="1" spans="2:8">
      <c r="B3017" s="98"/>
      <c r="C3017" s="98"/>
      <c r="D3017" s="98"/>
      <c r="E3017" s="98"/>
      <c r="F3017" s="99"/>
      <c r="G3017" s="100"/>
      <c r="H3017" s="100"/>
    </row>
    <row r="3018" customHeight="1" spans="2:8">
      <c r="B3018" s="98"/>
      <c r="C3018" s="98"/>
      <c r="D3018" s="98"/>
      <c r="E3018" s="98"/>
      <c r="F3018" s="99"/>
      <c r="G3018" s="100"/>
      <c r="H3018" s="100"/>
    </row>
    <row r="3019" customHeight="1" spans="2:8">
      <c r="B3019" s="98"/>
      <c r="C3019" s="98"/>
      <c r="D3019" s="98"/>
      <c r="E3019" s="98"/>
      <c r="F3019" s="99"/>
      <c r="G3019" s="100"/>
      <c r="H3019" s="100"/>
    </row>
    <row r="3020" customHeight="1" spans="2:8">
      <c r="B3020" s="98"/>
      <c r="C3020" s="98"/>
      <c r="D3020" s="98"/>
      <c r="E3020" s="98"/>
      <c r="F3020" s="99"/>
      <c r="G3020" s="100"/>
      <c r="H3020" s="100"/>
    </row>
    <row r="3021" customHeight="1" spans="2:8">
      <c r="B3021" s="98"/>
      <c r="C3021" s="98"/>
      <c r="D3021" s="98"/>
      <c r="E3021" s="98"/>
      <c r="F3021" s="99"/>
      <c r="G3021" s="100"/>
      <c r="H3021" s="100"/>
    </row>
    <row r="3022" customHeight="1" spans="2:8">
      <c r="B3022" s="98"/>
      <c r="C3022" s="98"/>
      <c r="D3022" s="98"/>
      <c r="E3022" s="98"/>
      <c r="F3022" s="99"/>
      <c r="G3022" s="100"/>
      <c r="H3022" s="100"/>
    </row>
    <row r="3023" customHeight="1" spans="2:8">
      <c r="B3023" s="98"/>
      <c r="C3023" s="98"/>
      <c r="D3023" s="98"/>
      <c r="E3023" s="98"/>
      <c r="F3023" s="99"/>
      <c r="G3023" s="100"/>
      <c r="H3023" s="100"/>
    </row>
    <row r="3024" customHeight="1" spans="2:8">
      <c r="B3024" s="98"/>
      <c r="C3024" s="98"/>
      <c r="D3024" s="98"/>
      <c r="E3024" s="98"/>
      <c r="F3024" s="99"/>
      <c r="G3024" s="100"/>
      <c r="H3024" s="100"/>
    </row>
    <row r="3025" customHeight="1" spans="2:8">
      <c r="B3025" s="98"/>
      <c r="C3025" s="98"/>
      <c r="D3025" s="98"/>
      <c r="E3025" s="98"/>
      <c r="F3025" s="99"/>
      <c r="G3025" s="100"/>
      <c r="H3025" s="100"/>
    </row>
    <row r="3026" customHeight="1" spans="2:8">
      <c r="B3026" s="98"/>
      <c r="C3026" s="98"/>
      <c r="D3026" s="98"/>
      <c r="E3026" s="98"/>
      <c r="F3026" s="99"/>
      <c r="G3026" s="100"/>
      <c r="H3026" s="100"/>
    </row>
    <row r="3027" customHeight="1" spans="2:8">
      <c r="B3027" s="98"/>
      <c r="C3027" s="98"/>
      <c r="D3027" s="98"/>
      <c r="E3027" s="98"/>
      <c r="F3027" s="99"/>
      <c r="G3027" s="100"/>
      <c r="H3027" s="100"/>
    </row>
    <row r="3028" customHeight="1" spans="2:8">
      <c r="B3028" s="98"/>
      <c r="C3028" s="98"/>
      <c r="D3028" s="98"/>
      <c r="E3028" s="98"/>
      <c r="F3028" s="99"/>
      <c r="G3028" s="100"/>
      <c r="H3028" s="100"/>
    </row>
    <row r="3029" customHeight="1" spans="2:8">
      <c r="B3029" s="98"/>
      <c r="C3029" s="98"/>
      <c r="D3029" s="98"/>
      <c r="E3029" s="98"/>
      <c r="F3029" s="99"/>
      <c r="G3029" s="100"/>
      <c r="H3029" s="100"/>
    </row>
    <row r="3030" customHeight="1" spans="2:8">
      <c r="B3030" s="98"/>
      <c r="C3030" s="98"/>
      <c r="D3030" s="98"/>
      <c r="E3030" s="98"/>
      <c r="F3030" s="99"/>
      <c r="G3030" s="100"/>
      <c r="H3030" s="100"/>
    </row>
    <row r="3031" customHeight="1" spans="2:8">
      <c r="B3031" s="98"/>
      <c r="C3031" s="98"/>
      <c r="D3031" s="98"/>
      <c r="E3031" s="98"/>
      <c r="F3031" s="99"/>
      <c r="G3031" s="100"/>
      <c r="H3031" s="100"/>
    </row>
    <row r="3032" customHeight="1" spans="2:8">
      <c r="B3032" s="98"/>
      <c r="C3032" s="98"/>
      <c r="D3032" s="98"/>
      <c r="E3032" s="98"/>
      <c r="F3032" s="99"/>
      <c r="G3032" s="100"/>
      <c r="H3032" s="100"/>
    </row>
    <row r="3033" customHeight="1" spans="2:8">
      <c r="B3033" s="98"/>
      <c r="C3033" s="98"/>
      <c r="D3033" s="98"/>
      <c r="E3033" s="98"/>
      <c r="F3033" s="99"/>
      <c r="G3033" s="100"/>
      <c r="H3033" s="100"/>
    </row>
    <row r="3034" customHeight="1" spans="2:8">
      <c r="B3034" s="98"/>
      <c r="C3034" s="98"/>
      <c r="D3034" s="98"/>
      <c r="E3034" s="98"/>
      <c r="F3034" s="99"/>
      <c r="G3034" s="100"/>
      <c r="H3034" s="100"/>
    </row>
    <row r="3035" customHeight="1" spans="2:8">
      <c r="B3035" s="98"/>
      <c r="C3035" s="98"/>
      <c r="D3035" s="98"/>
      <c r="E3035" s="98"/>
      <c r="F3035" s="99"/>
      <c r="G3035" s="100"/>
      <c r="H3035" s="100"/>
    </row>
    <row r="3036" customHeight="1" spans="2:8">
      <c r="B3036" s="98"/>
      <c r="C3036" s="98"/>
      <c r="D3036" s="98"/>
      <c r="E3036" s="98"/>
      <c r="F3036" s="99"/>
      <c r="G3036" s="100"/>
      <c r="H3036" s="100"/>
    </row>
    <row r="3037" customHeight="1" spans="2:8">
      <c r="B3037" s="98"/>
      <c r="C3037" s="98"/>
      <c r="D3037" s="98"/>
      <c r="E3037" s="98"/>
      <c r="F3037" s="99"/>
      <c r="G3037" s="100"/>
      <c r="H3037" s="100"/>
    </row>
    <row r="3038" customHeight="1" spans="2:8">
      <c r="B3038" s="98"/>
      <c r="C3038" s="98"/>
      <c r="D3038" s="98"/>
      <c r="E3038" s="98"/>
      <c r="F3038" s="99"/>
      <c r="G3038" s="100"/>
      <c r="H3038" s="100"/>
    </row>
    <row r="3039" customHeight="1" spans="2:8">
      <c r="B3039" s="98"/>
      <c r="C3039" s="98"/>
      <c r="D3039" s="98"/>
      <c r="E3039" s="98"/>
      <c r="F3039" s="99"/>
      <c r="G3039" s="100"/>
      <c r="H3039" s="100"/>
    </row>
    <row r="3040" customHeight="1" spans="2:8">
      <c r="B3040" s="98"/>
      <c r="C3040" s="98"/>
      <c r="D3040" s="98"/>
      <c r="E3040" s="98"/>
      <c r="F3040" s="99"/>
      <c r="G3040" s="100"/>
      <c r="H3040" s="100"/>
    </row>
    <row r="3041" customHeight="1" spans="2:8">
      <c r="B3041" s="98"/>
      <c r="C3041" s="98"/>
      <c r="D3041" s="98"/>
      <c r="E3041" s="98"/>
      <c r="F3041" s="99"/>
      <c r="G3041" s="100"/>
      <c r="H3041" s="100"/>
    </row>
    <row r="3042" customHeight="1" spans="2:8">
      <c r="B3042" s="98"/>
      <c r="C3042" s="98"/>
      <c r="D3042" s="98"/>
      <c r="E3042" s="98"/>
      <c r="F3042" s="99"/>
      <c r="G3042" s="100"/>
      <c r="H3042" s="100"/>
    </row>
    <row r="3043" customHeight="1" spans="2:8">
      <c r="B3043" s="98"/>
      <c r="C3043" s="98"/>
      <c r="D3043" s="98"/>
      <c r="E3043" s="98"/>
      <c r="F3043" s="99"/>
      <c r="G3043" s="100"/>
      <c r="H3043" s="100"/>
    </row>
    <row r="3044" customHeight="1" spans="2:8">
      <c r="B3044" s="98"/>
      <c r="C3044" s="98"/>
      <c r="D3044" s="98"/>
      <c r="E3044" s="98"/>
      <c r="F3044" s="99"/>
      <c r="G3044" s="100"/>
      <c r="H3044" s="100"/>
    </row>
    <row r="3045" customHeight="1" spans="2:8">
      <c r="B3045" s="98"/>
      <c r="C3045" s="98"/>
      <c r="D3045" s="98"/>
      <c r="E3045" s="98"/>
      <c r="F3045" s="99"/>
      <c r="G3045" s="100"/>
      <c r="H3045" s="100"/>
    </row>
    <row r="3046" customHeight="1" spans="2:8">
      <c r="B3046" s="98"/>
      <c r="C3046" s="98"/>
      <c r="D3046" s="98"/>
      <c r="E3046" s="98"/>
      <c r="F3046" s="99"/>
      <c r="G3046" s="100"/>
      <c r="H3046" s="100"/>
    </row>
    <row r="3047" customHeight="1" spans="2:8">
      <c r="B3047" s="98"/>
      <c r="C3047" s="98"/>
      <c r="D3047" s="98"/>
      <c r="E3047" s="98"/>
      <c r="F3047" s="99"/>
      <c r="G3047" s="100"/>
      <c r="H3047" s="100"/>
    </row>
    <row r="3048" customHeight="1" spans="2:8">
      <c r="B3048" s="98"/>
      <c r="C3048" s="98"/>
      <c r="D3048" s="98"/>
      <c r="E3048" s="98"/>
      <c r="F3048" s="99"/>
      <c r="G3048" s="100"/>
      <c r="H3048" s="100"/>
    </row>
    <row r="3049" customHeight="1" spans="2:8">
      <c r="B3049" s="98"/>
      <c r="C3049" s="98"/>
      <c r="D3049" s="98"/>
      <c r="E3049" s="98"/>
      <c r="F3049" s="99"/>
      <c r="G3049" s="100"/>
      <c r="H3049" s="100"/>
    </row>
    <row r="3050" customHeight="1" spans="2:8">
      <c r="B3050" s="98"/>
      <c r="C3050" s="98"/>
      <c r="D3050" s="98"/>
      <c r="E3050" s="98"/>
      <c r="F3050" s="99"/>
      <c r="G3050" s="100"/>
      <c r="H3050" s="100"/>
    </row>
    <row r="3051" customHeight="1" spans="2:8">
      <c r="B3051" s="98"/>
      <c r="C3051" s="98"/>
      <c r="D3051" s="98"/>
      <c r="E3051" s="98"/>
      <c r="F3051" s="99"/>
      <c r="G3051" s="100"/>
      <c r="H3051" s="100"/>
    </row>
    <row r="3052" customHeight="1" spans="2:8">
      <c r="B3052" s="98"/>
      <c r="C3052" s="98"/>
      <c r="D3052" s="98"/>
      <c r="E3052" s="98"/>
      <c r="F3052" s="99"/>
      <c r="G3052" s="100"/>
      <c r="H3052" s="100"/>
    </row>
    <row r="3053" customHeight="1" spans="2:8">
      <c r="B3053" s="98"/>
      <c r="C3053" s="98"/>
      <c r="D3053" s="98"/>
      <c r="E3053" s="98"/>
      <c r="F3053" s="99"/>
      <c r="G3053" s="100"/>
      <c r="H3053" s="100"/>
    </row>
    <row r="3054" customHeight="1" spans="2:8">
      <c r="B3054" s="98"/>
      <c r="C3054" s="98"/>
      <c r="D3054" s="98"/>
      <c r="E3054" s="98"/>
      <c r="F3054" s="99"/>
      <c r="G3054" s="100"/>
      <c r="H3054" s="100"/>
    </row>
    <row r="3055" customHeight="1" spans="2:8">
      <c r="B3055" s="98"/>
      <c r="C3055" s="98"/>
      <c r="D3055" s="98"/>
      <c r="E3055" s="98"/>
      <c r="F3055" s="99"/>
      <c r="G3055" s="100"/>
      <c r="H3055" s="100"/>
    </row>
    <row r="3056" customHeight="1" spans="2:8">
      <c r="B3056" s="98"/>
      <c r="C3056" s="98"/>
      <c r="D3056" s="98"/>
      <c r="E3056" s="98"/>
      <c r="F3056" s="99"/>
      <c r="G3056" s="100"/>
      <c r="H3056" s="100"/>
    </row>
    <row r="3057" customHeight="1" spans="2:8">
      <c r="B3057" s="98"/>
      <c r="C3057" s="98"/>
      <c r="D3057" s="98"/>
      <c r="E3057" s="98"/>
      <c r="F3057" s="99"/>
      <c r="G3057" s="100"/>
      <c r="H3057" s="100"/>
    </row>
    <row r="3058" customHeight="1" spans="2:8">
      <c r="B3058" s="98"/>
      <c r="C3058" s="98"/>
      <c r="D3058" s="98"/>
      <c r="E3058" s="98"/>
      <c r="F3058" s="99"/>
      <c r="G3058" s="100"/>
      <c r="H3058" s="100"/>
    </row>
    <row r="3059" customHeight="1" spans="2:8">
      <c r="B3059" s="98"/>
      <c r="C3059" s="98"/>
      <c r="D3059" s="98"/>
      <c r="E3059" s="98"/>
      <c r="F3059" s="99"/>
      <c r="G3059" s="100"/>
      <c r="H3059" s="100"/>
    </row>
    <row r="3060" customHeight="1" spans="2:8">
      <c r="B3060" s="98"/>
      <c r="C3060" s="98"/>
      <c r="D3060" s="98"/>
      <c r="E3060" s="98"/>
      <c r="F3060" s="99"/>
      <c r="G3060" s="100"/>
      <c r="H3060" s="100"/>
    </row>
    <row r="3061" customHeight="1" spans="2:8">
      <c r="B3061" s="98"/>
      <c r="C3061" s="98"/>
      <c r="D3061" s="98"/>
      <c r="E3061" s="98"/>
      <c r="F3061" s="99"/>
      <c r="G3061" s="100"/>
      <c r="H3061" s="100"/>
    </row>
    <row r="3062" customHeight="1" spans="2:8">
      <c r="B3062" s="98"/>
      <c r="C3062" s="98"/>
      <c r="D3062" s="98"/>
      <c r="E3062" s="98"/>
      <c r="F3062" s="99"/>
      <c r="G3062" s="100"/>
      <c r="H3062" s="100"/>
    </row>
    <row r="3063" customHeight="1" spans="2:8">
      <c r="B3063" s="98"/>
      <c r="C3063" s="98"/>
      <c r="D3063" s="98"/>
      <c r="E3063" s="98"/>
      <c r="F3063" s="99"/>
      <c r="G3063" s="100"/>
      <c r="H3063" s="100"/>
    </row>
    <row r="3064" customHeight="1" spans="2:8">
      <c r="B3064" s="98"/>
      <c r="C3064" s="98"/>
      <c r="D3064" s="98"/>
      <c r="E3064" s="98"/>
      <c r="F3064" s="99"/>
      <c r="G3064" s="100"/>
      <c r="H3064" s="100"/>
    </row>
    <row r="3065" customHeight="1" spans="2:8">
      <c r="B3065" s="98"/>
      <c r="C3065" s="98"/>
      <c r="D3065" s="98"/>
      <c r="E3065" s="98"/>
      <c r="F3065" s="99"/>
      <c r="G3065" s="100"/>
      <c r="H3065" s="100"/>
    </row>
    <row r="3066" customHeight="1" spans="2:8">
      <c r="B3066" s="98"/>
      <c r="C3066" s="98"/>
      <c r="D3066" s="98"/>
      <c r="E3066" s="98"/>
      <c r="F3066" s="99"/>
      <c r="G3066" s="100"/>
      <c r="H3066" s="100"/>
    </row>
    <row r="3067" customHeight="1" spans="2:8">
      <c r="B3067" s="98"/>
      <c r="C3067" s="98"/>
      <c r="D3067" s="98"/>
      <c r="E3067" s="98"/>
      <c r="F3067" s="99"/>
      <c r="G3067" s="100"/>
      <c r="H3067" s="100"/>
    </row>
    <row r="3068" customHeight="1" spans="2:8">
      <c r="B3068" s="98"/>
      <c r="C3068" s="98"/>
      <c r="D3068" s="98"/>
      <c r="E3068" s="98"/>
      <c r="F3068" s="99"/>
      <c r="G3068" s="100"/>
      <c r="H3068" s="100"/>
    </row>
    <row r="3069" customHeight="1" spans="2:8">
      <c r="B3069" s="98"/>
      <c r="C3069" s="98"/>
      <c r="D3069" s="98"/>
      <c r="E3069" s="98"/>
      <c r="F3069" s="99"/>
      <c r="G3069" s="100"/>
      <c r="H3069" s="100"/>
    </row>
    <row r="3070" customHeight="1" spans="2:8">
      <c r="B3070" s="98"/>
      <c r="C3070" s="98"/>
      <c r="D3070" s="98"/>
      <c r="E3070" s="98"/>
      <c r="F3070" s="99"/>
      <c r="G3070" s="100"/>
      <c r="H3070" s="100"/>
    </row>
    <row r="3071" customHeight="1" spans="2:8">
      <c r="B3071" s="98"/>
      <c r="C3071" s="98"/>
      <c r="D3071" s="98"/>
      <c r="E3071" s="98"/>
      <c r="F3071" s="99"/>
      <c r="G3071" s="100"/>
      <c r="H3071" s="100"/>
    </row>
    <row r="3072" customHeight="1" spans="2:8">
      <c r="B3072" s="98"/>
      <c r="C3072" s="98"/>
      <c r="D3072" s="98"/>
      <c r="E3072" s="98"/>
      <c r="F3072" s="99"/>
      <c r="G3072" s="100"/>
      <c r="H3072" s="100"/>
    </row>
    <row r="3073" customHeight="1" spans="2:8">
      <c r="B3073" s="98"/>
      <c r="C3073" s="98"/>
      <c r="D3073" s="98"/>
      <c r="E3073" s="98"/>
      <c r="F3073" s="99"/>
      <c r="G3073" s="100"/>
      <c r="H3073" s="100"/>
    </row>
    <row r="3074" customHeight="1" spans="2:8">
      <c r="B3074" s="98"/>
      <c r="C3074" s="98"/>
      <c r="D3074" s="98"/>
      <c r="E3074" s="98"/>
      <c r="F3074" s="99"/>
      <c r="G3074" s="100"/>
      <c r="H3074" s="100"/>
    </row>
    <row r="3075" customHeight="1" spans="2:8">
      <c r="B3075" s="98"/>
      <c r="C3075" s="98"/>
      <c r="D3075" s="98"/>
      <c r="E3075" s="98"/>
      <c r="F3075" s="99"/>
      <c r="G3075" s="100"/>
      <c r="H3075" s="100"/>
    </row>
    <row r="3076" customHeight="1" spans="2:8">
      <c r="B3076" s="98"/>
      <c r="C3076" s="98"/>
      <c r="D3076" s="98"/>
      <c r="E3076" s="98"/>
      <c r="F3076" s="99"/>
      <c r="G3076" s="100"/>
      <c r="H3076" s="100"/>
    </row>
    <row r="3077" customHeight="1" spans="2:8">
      <c r="B3077" s="98"/>
      <c r="C3077" s="98"/>
      <c r="D3077" s="98"/>
      <c r="E3077" s="98"/>
      <c r="F3077" s="99"/>
      <c r="G3077" s="100"/>
      <c r="H3077" s="100"/>
    </row>
    <row r="3078" customHeight="1" spans="2:8">
      <c r="B3078" s="98"/>
      <c r="C3078" s="98"/>
      <c r="D3078" s="98"/>
      <c r="E3078" s="98"/>
      <c r="F3078" s="99"/>
      <c r="G3078" s="100"/>
      <c r="H3078" s="100"/>
    </row>
    <row r="3079" customHeight="1" spans="2:8">
      <c r="B3079" s="98"/>
      <c r="C3079" s="98"/>
      <c r="D3079" s="98"/>
      <c r="E3079" s="98"/>
      <c r="F3079" s="99"/>
      <c r="G3079" s="100"/>
      <c r="H3079" s="100"/>
    </row>
    <row r="3080" customHeight="1" spans="2:8">
      <c r="B3080" s="98"/>
      <c r="C3080" s="98"/>
      <c r="D3080" s="98"/>
      <c r="E3080" s="98"/>
      <c r="F3080" s="99"/>
      <c r="G3080" s="100"/>
      <c r="H3080" s="100"/>
    </row>
    <row r="3081" customHeight="1" spans="2:8">
      <c r="B3081" s="98"/>
      <c r="C3081" s="98"/>
      <c r="D3081" s="98"/>
      <c r="E3081" s="98"/>
      <c r="F3081" s="99"/>
      <c r="G3081" s="100"/>
      <c r="H3081" s="100"/>
    </row>
    <row r="3082" customHeight="1" spans="2:8">
      <c r="B3082" s="98"/>
      <c r="C3082" s="98"/>
      <c r="D3082" s="98"/>
      <c r="E3082" s="98"/>
      <c r="F3082" s="99"/>
      <c r="G3082" s="100"/>
      <c r="H3082" s="100"/>
    </row>
    <row r="3083" customHeight="1" spans="2:8">
      <c r="B3083" s="98"/>
      <c r="C3083" s="98"/>
      <c r="D3083" s="98"/>
      <c r="E3083" s="98"/>
      <c r="F3083" s="99"/>
      <c r="G3083" s="100"/>
      <c r="H3083" s="100"/>
    </row>
    <row r="3084" customHeight="1" spans="2:8">
      <c r="B3084" s="98"/>
      <c r="C3084" s="98"/>
      <c r="D3084" s="98"/>
      <c r="E3084" s="98"/>
      <c r="F3084" s="99"/>
      <c r="G3084" s="100"/>
      <c r="H3084" s="100"/>
    </row>
    <row r="3085" customHeight="1" spans="2:8">
      <c r="B3085" s="98"/>
      <c r="C3085" s="98"/>
      <c r="D3085" s="98"/>
      <c r="E3085" s="98"/>
      <c r="F3085" s="99"/>
      <c r="G3085" s="100"/>
      <c r="H3085" s="100"/>
    </row>
    <row r="3086" customHeight="1" spans="2:8">
      <c r="B3086" s="98"/>
      <c r="C3086" s="98"/>
      <c r="D3086" s="98"/>
      <c r="E3086" s="98"/>
      <c r="F3086" s="99"/>
      <c r="G3086" s="100"/>
      <c r="H3086" s="100"/>
    </row>
    <row r="3087" customHeight="1" spans="2:8">
      <c r="B3087" s="98"/>
      <c r="C3087" s="98"/>
      <c r="D3087" s="98"/>
      <c r="E3087" s="98"/>
      <c r="F3087" s="99"/>
      <c r="G3087" s="100"/>
      <c r="H3087" s="100"/>
    </row>
    <row r="3088" customHeight="1" spans="2:8">
      <c r="B3088" s="98"/>
      <c r="C3088" s="98"/>
      <c r="D3088" s="98"/>
      <c r="E3088" s="98"/>
      <c r="F3088" s="99"/>
      <c r="G3088" s="100"/>
      <c r="H3088" s="100"/>
    </row>
    <row r="3089" customHeight="1" spans="2:8">
      <c r="B3089" s="98"/>
      <c r="C3089" s="98"/>
      <c r="D3089" s="98"/>
      <c r="E3089" s="98"/>
      <c r="F3089" s="99"/>
      <c r="G3089" s="100"/>
      <c r="H3089" s="100"/>
    </row>
    <row r="3090" customHeight="1" spans="2:8">
      <c r="B3090" s="98"/>
      <c r="C3090" s="98"/>
      <c r="D3090" s="98"/>
      <c r="E3090" s="98"/>
      <c r="F3090" s="99"/>
      <c r="G3090" s="100"/>
      <c r="H3090" s="100"/>
    </row>
    <row r="3091" customHeight="1" spans="2:8">
      <c r="B3091" s="98"/>
      <c r="C3091" s="98"/>
      <c r="D3091" s="98"/>
      <c r="E3091" s="98"/>
      <c r="F3091" s="99"/>
      <c r="G3091" s="100"/>
      <c r="H3091" s="100"/>
    </row>
    <row r="3092" customHeight="1" spans="2:8">
      <c r="B3092" s="98"/>
      <c r="C3092" s="98"/>
      <c r="D3092" s="98"/>
      <c r="E3092" s="98"/>
      <c r="F3092" s="99"/>
      <c r="G3092" s="100"/>
      <c r="H3092" s="100"/>
    </row>
    <row r="3093" customHeight="1" spans="2:8">
      <c r="B3093" s="98"/>
      <c r="C3093" s="98"/>
      <c r="D3093" s="98"/>
      <c r="E3093" s="98"/>
      <c r="F3093" s="99"/>
      <c r="G3093" s="100"/>
      <c r="H3093" s="100"/>
    </row>
    <row r="3094" customHeight="1" spans="2:8">
      <c r="B3094" s="98"/>
      <c r="C3094" s="98"/>
      <c r="D3094" s="98"/>
      <c r="E3094" s="98"/>
      <c r="F3094" s="99"/>
      <c r="G3094" s="100"/>
      <c r="H3094" s="100"/>
    </row>
    <row r="3095" customHeight="1" spans="2:8">
      <c r="B3095" s="98"/>
      <c r="C3095" s="98"/>
      <c r="D3095" s="98"/>
      <c r="E3095" s="98"/>
      <c r="F3095" s="99"/>
      <c r="G3095" s="100"/>
      <c r="H3095" s="100"/>
    </row>
    <row r="3096" customHeight="1" spans="2:8">
      <c r="B3096" s="98"/>
      <c r="C3096" s="98"/>
      <c r="D3096" s="98"/>
      <c r="E3096" s="98"/>
      <c r="F3096" s="99"/>
      <c r="G3096" s="100"/>
      <c r="H3096" s="100"/>
    </row>
    <row r="3097" customHeight="1" spans="2:8">
      <c r="B3097" s="98"/>
      <c r="C3097" s="98"/>
      <c r="D3097" s="98"/>
      <c r="E3097" s="98"/>
      <c r="F3097" s="99"/>
      <c r="G3097" s="100"/>
      <c r="H3097" s="100"/>
    </row>
    <row r="3098" customHeight="1" spans="2:8">
      <c r="B3098" s="98"/>
      <c r="C3098" s="98"/>
      <c r="D3098" s="98"/>
      <c r="E3098" s="98"/>
      <c r="F3098" s="99"/>
      <c r="G3098" s="100"/>
      <c r="H3098" s="100"/>
    </row>
    <row r="3099" customHeight="1" spans="2:8">
      <c r="B3099" s="98"/>
      <c r="C3099" s="98"/>
      <c r="D3099" s="98"/>
      <c r="E3099" s="98"/>
      <c r="F3099" s="99"/>
      <c r="G3099" s="100"/>
      <c r="H3099" s="100"/>
    </row>
    <row r="3100" customHeight="1" spans="2:8">
      <c r="B3100" s="98"/>
      <c r="C3100" s="98"/>
      <c r="D3100" s="98"/>
      <c r="E3100" s="98"/>
      <c r="F3100" s="99"/>
      <c r="G3100" s="100"/>
      <c r="H3100" s="100"/>
    </row>
    <row r="3101" customHeight="1" spans="2:8">
      <c r="B3101" s="98"/>
      <c r="C3101" s="98"/>
      <c r="D3101" s="98"/>
      <c r="E3101" s="98"/>
      <c r="F3101" s="99"/>
      <c r="G3101" s="100"/>
      <c r="H3101" s="100"/>
    </row>
    <row r="3102" customHeight="1" spans="2:8">
      <c r="B3102" s="98"/>
      <c r="C3102" s="98"/>
      <c r="D3102" s="98"/>
      <c r="E3102" s="98"/>
      <c r="F3102" s="99"/>
      <c r="G3102" s="100"/>
      <c r="H3102" s="100"/>
    </row>
    <row r="3103" customHeight="1" spans="2:8">
      <c r="B3103" s="98"/>
      <c r="C3103" s="98"/>
      <c r="D3103" s="98"/>
      <c r="E3103" s="98"/>
      <c r="F3103" s="99"/>
      <c r="G3103" s="100"/>
      <c r="H3103" s="100"/>
    </row>
    <row r="3104" customHeight="1" spans="2:8">
      <c r="B3104" s="98"/>
      <c r="C3104" s="98"/>
      <c r="D3104" s="98"/>
      <c r="E3104" s="98"/>
      <c r="F3104" s="99"/>
      <c r="G3104" s="100"/>
      <c r="H3104" s="100"/>
    </row>
    <row r="3105" customHeight="1" spans="2:8">
      <c r="B3105" s="98"/>
      <c r="C3105" s="98"/>
      <c r="D3105" s="98"/>
      <c r="E3105" s="98"/>
      <c r="F3105" s="99"/>
      <c r="G3105" s="100"/>
      <c r="H3105" s="100"/>
    </row>
    <row r="3106" customHeight="1" spans="2:8">
      <c r="B3106" s="98"/>
      <c r="C3106" s="98"/>
      <c r="D3106" s="98"/>
      <c r="E3106" s="98"/>
      <c r="F3106" s="99"/>
      <c r="G3106" s="100"/>
      <c r="H3106" s="100"/>
    </row>
    <row r="3107" customHeight="1" spans="2:8">
      <c r="B3107" s="98"/>
      <c r="C3107" s="98"/>
      <c r="D3107" s="98"/>
      <c r="E3107" s="98"/>
      <c r="F3107" s="99"/>
      <c r="G3107" s="100"/>
      <c r="H3107" s="100"/>
    </row>
    <row r="3108" customHeight="1" spans="2:8">
      <c r="B3108" s="98"/>
      <c r="C3108" s="98"/>
      <c r="D3108" s="98"/>
      <c r="E3108" s="98"/>
      <c r="F3108" s="99"/>
      <c r="G3108" s="100"/>
      <c r="H3108" s="100"/>
    </row>
    <row r="3109" customHeight="1" spans="2:8">
      <c r="B3109" s="98"/>
      <c r="C3109" s="98"/>
      <c r="D3109" s="98"/>
      <c r="E3109" s="98"/>
      <c r="F3109" s="99"/>
      <c r="G3109" s="100"/>
      <c r="H3109" s="100"/>
    </row>
    <row r="3110" customHeight="1" spans="2:8">
      <c r="B3110" s="98"/>
      <c r="C3110" s="98"/>
      <c r="D3110" s="98"/>
      <c r="E3110" s="98"/>
      <c r="F3110" s="99"/>
      <c r="G3110" s="100"/>
      <c r="H3110" s="100"/>
    </row>
    <row r="3111" customHeight="1" spans="2:8">
      <c r="B3111" s="98"/>
      <c r="C3111" s="98"/>
      <c r="D3111" s="98"/>
      <c r="E3111" s="98"/>
      <c r="F3111" s="99"/>
      <c r="G3111" s="100"/>
      <c r="H3111" s="100"/>
    </row>
    <row r="3112" customHeight="1" spans="2:8">
      <c r="B3112" s="98"/>
      <c r="C3112" s="98"/>
      <c r="D3112" s="98"/>
      <c r="E3112" s="98"/>
      <c r="F3112" s="99"/>
      <c r="G3112" s="100"/>
      <c r="H3112" s="100"/>
    </row>
    <row r="3113" customHeight="1" spans="2:8">
      <c r="B3113" s="98"/>
      <c r="C3113" s="98"/>
      <c r="D3113" s="98"/>
      <c r="E3113" s="98"/>
      <c r="F3113" s="99"/>
      <c r="G3113" s="100"/>
      <c r="H3113" s="100"/>
    </row>
    <row r="3114" customHeight="1" spans="2:8">
      <c r="B3114" s="98"/>
      <c r="C3114" s="98"/>
      <c r="D3114" s="98"/>
      <c r="E3114" s="98"/>
      <c r="F3114" s="99"/>
      <c r="G3114" s="100"/>
      <c r="H3114" s="100"/>
    </row>
    <row r="3115" customHeight="1" spans="2:8">
      <c r="B3115" s="98"/>
      <c r="C3115" s="98"/>
      <c r="D3115" s="98"/>
      <c r="E3115" s="98"/>
      <c r="F3115" s="99"/>
      <c r="G3115" s="100"/>
      <c r="H3115" s="100"/>
    </row>
    <row r="3116" customHeight="1" spans="2:8">
      <c r="B3116" s="98"/>
      <c r="C3116" s="98"/>
      <c r="D3116" s="98"/>
      <c r="E3116" s="98"/>
      <c r="F3116" s="99"/>
      <c r="G3116" s="100"/>
      <c r="H3116" s="100"/>
    </row>
    <row r="3117" customHeight="1" spans="2:8">
      <c r="B3117" s="98"/>
      <c r="C3117" s="98"/>
      <c r="D3117" s="98"/>
      <c r="E3117" s="98"/>
      <c r="F3117" s="99"/>
      <c r="G3117" s="100"/>
      <c r="H3117" s="100"/>
    </row>
    <row r="3118" customHeight="1" spans="2:8">
      <c r="B3118" s="98"/>
      <c r="C3118" s="98"/>
      <c r="D3118" s="98"/>
      <c r="E3118" s="98"/>
      <c r="F3118" s="99"/>
      <c r="G3118" s="100"/>
      <c r="H3118" s="100"/>
    </row>
    <row r="3119" customHeight="1" spans="2:8">
      <c r="B3119" s="98"/>
      <c r="C3119" s="98"/>
      <c r="D3119" s="98"/>
      <c r="E3119" s="98"/>
      <c r="F3119" s="99"/>
      <c r="G3119" s="100"/>
      <c r="H3119" s="100"/>
    </row>
    <row r="3120" customHeight="1" spans="2:8">
      <c r="B3120" s="98"/>
      <c r="C3120" s="98"/>
      <c r="D3120" s="98"/>
      <c r="E3120" s="98"/>
      <c r="F3120" s="99"/>
      <c r="G3120" s="100"/>
      <c r="H3120" s="100"/>
    </row>
    <row r="3121" customHeight="1" spans="2:8">
      <c r="B3121" s="98"/>
      <c r="C3121" s="98"/>
      <c r="D3121" s="98"/>
      <c r="E3121" s="98"/>
      <c r="F3121" s="99"/>
      <c r="G3121" s="100"/>
      <c r="H3121" s="100"/>
    </row>
    <row r="3122" customHeight="1" spans="2:8">
      <c r="B3122" s="98"/>
      <c r="C3122" s="98"/>
      <c r="D3122" s="98"/>
      <c r="E3122" s="98"/>
      <c r="F3122" s="99"/>
      <c r="G3122" s="100"/>
      <c r="H3122" s="100"/>
    </row>
    <row r="3123" customHeight="1" spans="2:8">
      <c r="B3123" s="98"/>
      <c r="C3123" s="98"/>
      <c r="D3123" s="98"/>
      <c r="E3123" s="98"/>
      <c r="F3123" s="99"/>
      <c r="G3123" s="100"/>
      <c r="H3123" s="100"/>
    </row>
    <row r="3124" customHeight="1" spans="2:8">
      <c r="B3124" s="98"/>
      <c r="C3124" s="98"/>
      <c r="D3124" s="98"/>
      <c r="E3124" s="98"/>
      <c r="F3124" s="99"/>
      <c r="G3124" s="100"/>
      <c r="H3124" s="100"/>
    </row>
    <row r="3125" customHeight="1" spans="2:8">
      <c r="B3125" s="98"/>
      <c r="C3125" s="98"/>
      <c r="D3125" s="98"/>
      <c r="E3125" s="98"/>
      <c r="F3125" s="99"/>
      <c r="G3125" s="100"/>
      <c r="H3125" s="100"/>
    </row>
    <row r="3126" customHeight="1" spans="2:8">
      <c r="B3126" s="98"/>
      <c r="C3126" s="98"/>
      <c r="D3126" s="98"/>
      <c r="E3126" s="98"/>
      <c r="F3126" s="99"/>
      <c r="G3126" s="100"/>
      <c r="H3126" s="100"/>
    </row>
    <row r="3127" customHeight="1" spans="2:8">
      <c r="B3127" s="98"/>
      <c r="C3127" s="98"/>
      <c r="D3127" s="98"/>
      <c r="E3127" s="98"/>
      <c r="F3127" s="99"/>
      <c r="G3127" s="100"/>
      <c r="H3127" s="100"/>
    </row>
    <row r="3128" customHeight="1" spans="2:8">
      <c r="B3128" s="98"/>
      <c r="C3128" s="98"/>
      <c r="D3128" s="98"/>
      <c r="E3128" s="98"/>
      <c r="F3128" s="99"/>
      <c r="G3128" s="100"/>
      <c r="H3128" s="100"/>
    </row>
    <row r="3129" customHeight="1" spans="2:8">
      <c r="B3129" s="98"/>
      <c r="C3129" s="98"/>
      <c r="D3129" s="98"/>
      <c r="E3129" s="98"/>
      <c r="F3129" s="99"/>
      <c r="G3129" s="100"/>
      <c r="H3129" s="100"/>
    </row>
    <row r="3130" customHeight="1" spans="2:8">
      <c r="B3130" s="98"/>
      <c r="C3130" s="98"/>
      <c r="D3130" s="98"/>
      <c r="E3130" s="98"/>
      <c r="F3130" s="99"/>
      <c r="G3130" s="100"/>
      <c r="H3130" s="100"/>
    </row>
    <row r="3131" customHeight="1" spans="2:8">
      <c r="B3131" s="98"/>
      <c r="C3131" s="98"/>
      <c r="D3131" s="98"/>
      <c r="E3131" s="98"/>
      <c r="F3131" s="99"/>
      <c r="G3131" s="100"/>
      <c r="H3131" s="100"/>
    </row>
    <row r="3132" customHeight="1" spans="2:8">
      <c r="B3132" s="98"/>
      <c r="C3132" s="98"/>
      <c r="D3132" s="98"/>
      <c r="E3132" s="98"/>
      <c r="F3132" s="99"/>
      <c r="G3132" s="100"/>
      <c r="H3132" s="100"/>
    </row>
    <row r="3133" customHeight="1" spans="2:8">
      <c r="B3133" s="98"/>
      <c r="C3133" s="98"/>
      <c r="D3133" s="98"/>
      <c r="E3133" s="98"/>
      <c r="F3133" s="99"/>
      <c r="G3133" s="100"/>
      <c r="H3133" s="100"/>
    </row>
    <row r="3134" customHeight="1" spans="2:8">
      <c r="B3134" s="98"/>
      <c r="C3134" s="98"/>
      <c r="D3134" s="98"/>
      <c r="E3134" s="98"/>
      <c r="F3134" s="99"/>
      <c r="G3134" s="100"/>
      <c r="H3134" s="100"/>
    </row>
    <row r="3135" customHeight="1" spans="2:8">
      <c r="B3135" s="98"/>
      <c r="C3135" s="98"/>
      <c r="D3135" s="98"/>
      <c r="E3135" s="98"/>
      <c r="F3135" s="99"/>
      <c r="G3135" s="100"/>
      <c r="H3135" s="100"/>
    </row>
    <row r="3136" customHeight="1" spans="2:8">
      <c r="B3136" s="98"/>
      <c r="C3136" s="98"/>
      <c r="D3136" s="98"/>
      <c r="E3136" s="98"/>
      <c r="F3136" s="99"/>
      <c r="G3136" s="100"/>
      <c r="H3136" s="100"/>
    </row>
    <row r="3137" customHeight="1" spans="2:8">
      <c r="B3137" s="98"/>
      <c r="C3137" s="98"/>
      <c r="D3137" s="98"/>
      <c r="E3137" s="98"/>
      <c r="F3137" s="99"/>
      <c r="G3137" s="100"/>
      <c r="H3137" s="100"/>
    </row>
    <row r="3138" customHeight="1" spans="2:8">
      <c r="B3138" s="98"/>
      <c r="C3138" s="98"/>
      <c r="D3138" s="98"/>
      <c r="E3138" s="98"/>
      <c r="F3138" s="99"/>
      <c r="G3138" s="100"/>
      <c r="H3138" s="100"/>
    </row>
    <row r="3139" customHeight="1" spans="2:8">
      <c r="B3139" s="98"/>
      <c r="C3139" s="98"/>
      <c r="D3139" s="98"/>
      <c r="E3139" s="98"/>
      <c r="F3139" s="99"/>
      <c r="G3139" s="100"/>
      <c r="H3139" s="100"/>
    </row>
    <row r="3140" customHeight="1" spans="2:8">
      <c r="B3140" s="98"/>
      <c r="C3140" s="98"/>
      <c r="D3140" s="98"/>
      <c r="E3140" s="98"/>
      <c r="F3140" s="99"/>
      <c r="G3140" s="100"/>
      <c r="H3140" s="100"/>
    </row>
    <row r="3141" customHeight="1" spans="2:8">
      <c r="B3141" s="98"/>
      <c r="C3141" s="98"/>
      <c r="D3141" s="98"/>
      <c r="E3141" s="98"/>
      <c r="F3141" s="99"/>
      <c r="G3141" s="100"/>
      <c r="H3141" s="100"/>
    </row>
    <row r="3142" customHeight="1" spans="2:8">
      <c r="B3142" s="98"/>
      <c r="C3142" s="98"/>
      <c r="D3142" s="98"/>
      <c r="E3142" s="98"/>
      <c r="F3142" s="99"/>
      <c r="G3142" s="100"/>
      <c r="H3142" s="100"/>
    </row>
    <row r="3143" customHeight="1" spans="2:8">
      <c r="B3143" s="98"/>
      <c r="C3143" s="98"/>
      <c r="D3143" s="98"/>
      <c r="E3143" s="98"/>
      <c r="F3143" s="99"/>
      <c r="G3143" s="100"/>
      <c r="H3143" s="100"/>
    </row>
    <row r="3144" customHeight="1" spans="2:8">
      <c r="B3144" s="98"/>
      <c r="C3144" s="98"/>
      <c r="D3144" s="98"/>
      <c r="E3144" s="98"/>
      <c r="F3144" s="99"/>
      <c r="G3144" s="100"/>
      <c r="H3144" s="100"/>
    </row>
    <row r="3145" customHeight="1" spans="2:8">
      <c r="B3145" s="98"/>
      <c r="C3145" s="98"/>
      <c r="D3145" s="98"/>
      <c r="E3145" s="98"/>
      <c r="F3145" s="99"/>
      <c r="G3145" s="100"/>
      <c r="H3145" s="100"/>
    </row>
    <row r="3146" customHeight="1" spans="2:8">
      <c r="B3146" s="98"/>
      <c r="C3146" s="98"/>
      <c r="D3146" s="98"/>
      <c r="E3146" s="98"/>
      <c r="F3146" s="99"/>
      <c r="G3146" s="100"/>
      <c r="H3146" s="100"/>
    </row>
    <row r="3147" customHeight="1" spans="2:8">
      <c r="B3147" s="98"/>
      <c r="C3147" s="98"/>
      <c r="D3147" s="98"/>
      <c r="E3147" s="98"/>
      <c r="F3147" s="99"/>
      <c r="G3147" s="100"/>
      <c r="H3147" s="100"/>
    </row>
    <row r="3148" customHeight="1" spans="2:8">
      <c r="B3148" s="98"/>
      <c r="C3148" s="98"/>
      <c r="D3148" s="98"/>
      <c r="E3148" s="98"/>
      <c r="F3148" s="99"/>
      <c r="G3148" s="100"/>
      <c r="H3148" s="100"/>
    </row>
    <row r="3149" customHeight="1" spans="2:8">
      <c r="B3149" s="98"/>
      <c r="C3149" s="98"/>
      <c r="D3149" s="98"/>
      <c r="E3149" s="98"/>
      <c r="F3149" s="99"/>
      <c r="G3149" s="100"/>
      <c r="H3149" s="100"/>
    </row>
    <row r="3150" customHeight="1" spans="2:8">
      <c r="B3150" s="98"/>
      <c r="C3150" s="98"/>
      <c r="D3150" s="98"/>
      <c r="E3150" s="98"/>
      <c r="F3150" s="99"/>
      <c r="G3150" s="100"/>
      <c r="H3150" s="100"/>
    </row>
    <row r="3151" customHeight="1" spans="2:8">
      <c r="B3151" s="98"/>
      <c r="C3151" s="98"/>
      <c r="D3151" s="98"/>
      <c r="E3151" s="98"/>
      <c r="F3151" s="99"/>
      <c r="G3151" s="100"/>
      <c r="H3151" s="100"/>
    </row>
    <row r="3152" customHeight="1" spans="2:8">
      <c r="B3152" s="98"/>
      <c r="C3152" s="98"/>
      <c r="D3152" s="98"/>
      <c r="E3152" s="98"/>
      <c r="F3152" s="99"/>
      <c r="G3152" s="100"/>
      <c r="H3152" s="100"/>
    </row>
    <row r="3153" customHeight="1" spans="2:8">
      <c r="B3153" s="98"/>
      <c r="C3153" s="98"/>
      <c r="D3153" s="98"/>
      <c r="E3153" s="98"/>
      <c r="F3153" s="99"/>
      <c r="G3153" s="100"/>
      <c r="H3153" s="100"/>
    </row>
    <row r="3154" customHeight="1" spans="2:8">
      <c r="B3154" s="98"/>
      <c r="C3154" s="98"/>
      <c r="D3154" s="98"/>
      <c r="E3154" s="98"/>
      <c r="F3154" s="99"/>
      <c r="G3154" s="100"/>
      <c r="H3154" s="100"/>
    </row>
    <row r="3155" customHeight="1" spans="2:8">
      <c r="B3155" s="98"/>
      <c r="C3155" s="98"/>
      <c r="D3155" s="98"/>
      <c r="E3155" s="98"/>
      <c r="F3155" s="99"/>
      <c r="G3155" s="100"/>
      <c r="H3155" s="100"/>
    </row>
    <row r="3156" customHeight="1" spans="2:8">
      <c r="B3156" s="98"/>
      <c r="C3156" s="98"/>
      <c r="D3156" s="98"/>
      <c r="E3156" s="98"/>
      <c r="F3156" s="99"/>
      <c r="G3156" s="100"/>
      <c r="H3156" s="100"/>
    </row>
    <row r="3157" customHeight="1" spans="2:8">
      <c r="B3157" s="98"/>
      <c r="C3157" s="98"/>
      <c r="D3157" s="98"/>
      <c r="E3157" s="98"/>
      <c r="F3157" s="99"/>
      <c r="G3157" s="100"/>
      <c r="H3157" s="100"/>
    </row>
    <row r="3158" customHeight="1" spans="2:8">
      <c r="B3158" s="98"/>
      <c r="C3158" s="98"/>
      <c r="D3158" s="98"/>
      <c r="E3158" s="98"/>
      <c r="F3158" s="99"/>
      <c r="G3158" s="100"/>
      <c r="H3158" s="100"/>
    </row>
    <row r="3159" customHeight="1" spans="2:8">
      <c r="B3159" s="98"/>
      <c r="C3159" s="98"/>
      <c r="D3159" s="98"/>
      <c r="E3159" s="98"/>
      <c r="F3159" s="99"/>
      <c r="G3159" s="100"/>
      <c r="H3159" s="100"/>
    </row>
    <row r="3160" customHeight="1" spans="2:8">
      <c r="B3160" s="98"/>
      <c r="C3160" s="98"/>
      <c r="D3160" s="98"/>
      <c r="E3160" s="98"/>
      <c r="F3160" s="99"/>
      <c r="G3160" s="100"/>
      <c r="H3160" s="100"/>
    </row>
    <row r="3161" customHeight="1" spans="2:8">
      <c r="B3161" s="98"/>
      <c r="C3161" s="98"/>
      <c r="D3161" s="98"/>
      <c r="E3161" s="98"/>
      <c r="F3161" s="99"/>
      <c r="G3161" s="100"/>
      <c r="H3161" s="100"/>
    </row>
    <row r="3162" customHeight="1" spans="2:8">
      <c r="B3162" s="98"/>
      <c r="C3162" s="98"/>
      <c r="D3162" s="98"/>
      <c r="E3162" s="98"/>
      <c r="F3162" s="99"/>
      <c r="G3162" s="100"/>
      <c r="H3162" s="100"/>
    </row>
    <row r="3163" customHeight="1" spans="2:8">
      <c r="B3163" s="98"/>
      <c r="C3163" s="98"/>
      <c r="D3163" s="98"/>
      <c r="E3163" s="98"/>
      <c r="F3163" s="99"/>
      <c r="G3163" s="100"/>
      <c r="H3163" s="100"/>
    </row>
    <row r="3164" customHeight="1" spans="2:8">
      <c r="B3164" s="98"/>
      <c r="C3164" s="98"/>
      <c r="D3164" s="98"/>
      <c r="E3164" s="98"/>
      <c r="F3164" s="99"/>
      <c r="G3164" s="100"/>
      <c r="H3164" s="100"/>
    </row>
    <row r="3165" customHeight="1" spans="2:8">
      <c r="B3165" s="98"/>
      <c r="C3165" s="98"/>
      <c r="D3165" s="98"/>
      <c r="E3165" s="98"/>
      <c r="F3165" s="99"/>
      <c r="G3165" s="100"/>
      <c r="H3165" s="100"/>
    </row>
    <row r="3166" customHeight="1" spans="2:8">
      <c r="B3166" s="98"/>
      <c r="C3166" s="98"/>
      <c r="D3166" s="98"/>
      <c r="E3166" s="98"/>
      <c r="F3166" s="99"/>
      <c r="G3166" s="100"/>
      <c r="H3166" s="100"/>
    </row>
    <row r="3167" customHeight="1" spans="2:8">
      <c r="B3167" s="98"/>
      <c r="C3167" s="98"/>
      <c r="D3167" s="98"/>
      <c r="E3167" s="98"/>
      <c r="F3167" s="99"/>
      <c r="G3167" s="100"/>
      <c r="H3167" s="100"/>
    </row>
    <row r="3168" customHeight="1" spans="2:8">
      <c r="B3168" s="98"/>
      <c r="C3168" s="98"/>
      <c r="D3168" s="98"/>
      <c r="E3168" s="98"/>
      <c r="F3168" s="99"/>
      <c r="G3168" s="100"/>
      <c r="H3168" s="100"/>
    </row>
    <row r="3169" customHeight="1" spans="2:8">
      <c r="B3169" s="98"/>
      <c r="C3169" s="98"/>
      <c r="D3169" s="98"/>
      <c r="E3169" s="98"/>
      <c r="F3169" s="99"/>
      <c r="G3169" s="100"/>
      <c r="H3169" s="100"/>
    </row>
    <row r="3170" customHeight="1" spans="2:8">
      <c r="B3170" s="98"/>
      <c r="C3170" s="98"/>
      <c r="D3170" s="98"/>
      <c r="E3170" s="98"/>
      <c r="F3170" s="99"/>
      <c r="G3170" s="100"/>
      <c r="H3170" s="100"/>
    </row>
    <row r="3171" customHeight="1" spans="2:8">
      <c r="B3171" s="98"/>
      <c r="C3171" s="98"/>
      <c r="D3171" s="98"/>
      <c r="E3171" s="98"/>
      <c r="F3171" s="99"/>
      <c r="G3171" s="100"/>
      <c r="H3171" s="100"/>
    </row>
    <row r="3172" customHeight="1" spans="2:8">
      <c r="B3172" s="98"/>
      <c r="C3172" s="98"/>
      <c r="D3172" s="98"/>
      <c r="E3172" s="98"/>
      <c r="F3172" s="99"/>
      <c r="G3172" s="100"/>
      <c r="H3172" s="100"/>
    </row>
    <row r="3173" customHeight="1" spans="2:8">
      <c r="B3173" s="98"/>
      <c r="C3173" s="98"/>
      <c r="D3173" s="98"/>
      <c r="E3173" s="98"/>
      <c r="F3173" s="99"/>
      <c r="G3173" s="100"/>
      <c r="H3173" s="100"/>
    </row>
    <row r="3174" customHeight="1" spans="2:8">
      <c r="B3174" s="98"/>
      <c r="C3174" s="98"/>
      <c r="D3174" s="98"/>
      <c r="E3174" s="98"/>
      <c r="F3174" s="99"/>
      <c r="G3174" s="100"/>
      <c r="H3174" s="100"/>
    </row>
    <row r="3175" customHeight="1" spans="2:8">
      <c r="B3175" s="98"/>
      <c r="C3175" s="98"/>
      <c r="D3175" s="98"/>
      <c r="E3175" s="98"/>
      <c r="F3175" s="99"/>
      <c r="G3175" s="100"/>
      <c r="H3175" s="100"/>
    </row>
    <row r="3176" customHeight="1" spans="2:8">
      <c r="B3176" s="98"/>
      <c r="C3176" s="98"/>
      <c r="D3176" s="98"/>
      <c r="E3176" s="98"/>
      <c r="F3176" s="99"/>
      <c r="G3176" s="100"/>
      <c r="H3176" s="100"/>
    </row>
    <row r="3177" customHeight="1" spans="2:8">
      <c r="B3177" s="98"/>
      <c r="C3177" s="98"/>
      <c r="D3177" s="98"/>
      <c r="E3177" s="98"/>
      <c r="F3177" s="99"/>
      <c r="G3177" s="100"/>
      <c r="H3177" s="100"/>
    </row>
    <row r="3178" customHeight="1" spans="2:8">
      <c r="B3178" s="98"/>
      <c r="C3178" s="98"/>
      <c r="D3178" s="98"/>
      <c r="E3178" s="98"/>
      <c r="F3178" s="99"/>
      <c r="G3178" s="100"/>
      <c r="H3178" s="100"/>
    </row>
    <row r="3179" customHeight="1" spans="2:8">
      <c r="B3179" s="98"/>
      <c r="C3179" s="98"/>
      <c r="D3179" s="98"/>
      <c r="E3179" s="98"/>
      <c r="F3179" s="99"/>
      <c r="G3179" s="100"/>
      <c r="H3179" s="100"/>
    </row>
    <row r="3180" customHeight="1" spans="2:8">
      <c r="B3180" s="98"/>
      <c r="C3180" s="98"/>
      <c r="D3180" s="98"/>
      <c r="E3180" s="98"/>
      <c r="F3180" s="99"/>
      <c r="G3180" s="100"/>
      <c r="H3180" s="100"/>
    </row>
    <row r="3181" customHeight="1" spans="2:8">
      <c r="B3181" s="98"/>
      <c r="C3181" s="98"/>
      <c r="D3181" s="98"/>
      <c r="E3181" s="98"/>
      <c r="F3181" s="99"/>
      <c r="G3181" s="100"/>
      <c r="H3181" s="100"/>
    </row>
    <row r="3182" customHeight="1" spans="2:8">
      <c r="B3182" s="98"/>
      <c r="C3182" s="98"/>
      <c r="D3182" s="98"/>
      <c r="E3182" s="98"/>
      <c r="F3182" s="99"/>
      <c r="G3182" s="100"/>
      <c r="H3182" s="100"/>
    </row>
    <row r="3183" customHeight="1" spans="2:8">
      <c r="B3183" s="98"/>
      <c r="C3183" s="98"/>
      <c r="D3183" s="98"/>
      <c r="E3183" s="98"/>
      <c r="F3183" s="99"/>
      <c r="G3183" s="100"/>
      <c r="H3183" s="100"/>
    </row>
    <row r="3184" customHeight="1" spans="2:8">
      <c r="B3184" s="98"/>
      <c r="C3184" s="98"/>
      <c r="D3184" s="98"/>
      <c r="E3184" s="98"/>
      <c r="F3184" s="99"/>
      <c r="G3184" s="100"/>
      <c r="H3184" s="100"/>
    </row>
    <row r="3185" customHeight="1" spans="2:8">
      <c r="B3185" s="98"/>
      <c r="C3185" s="98"/>
      <c r="D3185" s="98"/>
      <c r="E3185" s="98"/>
      <c r="F3185" s="99"/>
      <c r="G3185" s="100"/>
      <c r="H3185" s="100"/>
    </row>
    <row r="3186" customHeight="1" spans="2:8">
      <c r="B3186" s="98"/>
      <c r="C3186" s="98"/>
      <c r="D3186" s="98"/>
      <c r="E3186" s="98"/>
      <c r="F3186" s="99"/>
      <c r="G3186" s="100"/>
      <c r="H3186" s="100"/>
    </row>
    <row r="3187" customHeight="1" spans="2:8">
      <c r="B3187" s="98"/>
      <c r="C3187" s="98"/>
      <c r="D3187" s="98"/>
      <c r="E3187" s="98"/>
      <c r="F3187" s="99"/>
      <c r="G3187" s="100"/>
      <c r="H3187" s="100"/>
    </row>
    <row r="3188" customHeight="1" spans="2:8">
      <c r="B3188" s="98"/>
      <c r="C3188" s="98"/>
      <c r="D3188" s="98"/>
      <c r="E3188" s="98"/>
      <c r="F3188" s="99"/>
      <c r="G3188" s="100"/>
      <c r="H3188" s="100"/>
    </row>
    <row r="3189" customHeight="1" spans="2:8">
      <c r="B3189" s="98"/>
      <c r="C3189" s="98"/>
      <c r="D3189" s="98"/>
      <c r="E3189" s="98"/>
      <c r="F3189" s="99"/>
      <c r="G3189" s="100"/>
      <c r="H3189" s="100"/>
    </row>
    <row r="3190" customHeight="1" spans="2:8">
      <c r="B3190" s="98"/>
      <c r="C3190" s="98"/>
      <c r="D3190" s="98"/>
      <c r="E3190" s="98"/>
      <c r="F3190" s="99"/>
      <c r="G3190" s="100"/>
      <c r="H3190" s="100"/>
    </row>
    <row r="3191" customHeight="1" spans="2:8">
      <c r="B3191" s="98"/>
      <c r="C3191" s="98"/>
      <c r="D3191" s="98"/>
      <c r="E3191" s="98"/>
      <c r="F3191" s="99"/>
      <c r="G3191" s="100"/>
      <c r="H3191" s="100"/>
    </row>
    <row r="3192" customHeight="1" spans="2:8">
      <c r="B3192" s="98"/>
      <c r="C3192" s="98"/>
      <c r="D3192" s="98"/>
      <c r="E3192" s="98"/>
      <c r="F3192" s="99"/>
      <c r="G3192" s="100"/>
      <c r="H3192" s="100"/>
    </row>
    <row r="3193" customHeight="1" spans="2:8">
      <c r="B3193" s="98"/>
      <c r="C3193" s="98"/>
      <c r="D3193" s="98"/>
      <c r="E3193" s="98"/>
      <c r="F3193" s="99"/>
      <c r="G3193" s="100"/>
      <c r="H3193" s="100"/>
    </row>
    <row r="3194" customHeight="1" spans="2:8">
      <c r="B3194" s="98"/>
      <c r="C3194" s="98"/>
      <c r="D3194" s="98"/>
      <c r="E3194" s="98"/>
      <c r="F3194" s="99"/>
      <c r="G3194" s="100"/>
      <c r="H3194" s="100"/>
    </row>
    <row r="3195" customHeight="1" spans="2:8">
      <c r="B3195" s="98"/>
      <c r="C3195" s="98"/>
      <c r="D3195" s="98"/>
      <c r="E3195" s="98"/>
      <c r="F3195" s="99"/>
      <c r="G3195" s="100"/>
      <c r="H3195" s="100"/>
    </row>
    <row r="3196" customHeight="1" spans="2:8">
      <c r="B3196" s="98"/>
      <c r="C3196" s="98"/>
      <c r="D3196" s="98"/>
      <c r="E3196" s="98"/>
      <c r="F3196" s="99"/>
      <c r="G3196" s="100"/>
      <c r="H3196" s="100"/>
    </row>
    <row r="3197" customHeight="1" spans="2:8">
      <c r="B3197" s="98"/>
      <c r="C3197" s="98"/>
      <c r="D3197" s="98"/>
      <c r="E3197" s="98"/>
      <c r="F3197" s="99"/>
      <c r="G3197" s="100"/>
      <c r="H3197" s="100"/>
    </row>
    <row r="3198" customHeight="1" spans="2:8">
      <c r="B3198" s="98"/>
      <c r="C3198" s="98"/>
      <c r="D3198" s="98"/>
      <c r="E3198" s="98"/>
      <c r="F3198" s="99"/>
      <c r="G3198" s="100"/>
      <c r="H3198" s="100"/>
    </row>
    <row r="3199" customHeight="1" spans="2:8">
      <c r="B3199" s="98"/>
      <c r="C3199" s="98"/>
      <c r="D3199" s="98"/>
      <c r="E3199" s="98"/>
      <c r="F3199" s="99"/>
      <c r="G3199" s="100"/>
      <c r="H3199" s="100"/>
    </row>
    <row r="3200" customHeight="1" spans="2:8">
      <c r="B3200" s="98"/>
      <c r="C3200" s="98"/>
      <c r="D3200" s="98"/>
      <c r="E3200" s="98"/>
      <c r="F3200" s="99"/>
      <c r="G3200" s="100"/>
      <c r="H3200" s="100"/>
    </row>
    <row r="3201" customHeight="1" spans="2:8">
      <c r="B3201" s="98"/>
      <c r="C3201" s="98"/>
      <c r="D3201" s="98"/>
      <c r="E3201" s="98"/>
      <c r="F3201" s="99"/>
      <c r="G3201" s="100"/>
      <c r="H3201" s="100"/>
    </row>
    <row r="3202" customHeight="1" spans="2:8">
      <c r="B3202" s="98"/>
      <c r="C3202" s="98"/>
      <c r="D3202" s="98"/>
      <c r="E3202" s="98"/>
      <c r="F3202" s="99"/>
      <c r="G3202" s="100"/>
      <c r="H3202" s="100"/>
    </row>
    <row r="3203" customHeight="1" spans="2:8">
      <c r="B3203" s="98"/>
      <c r="C3203" s="98"/>
      <c r="D3203" s="98"/>
      <c r="E3203" s="98"/>
      <c r="F3203" s="99"/>
      <c r="G3203" s="100"/>
      <c r="H3203" s="100"/>
    </row>
    <row r="3204" customHeight="1" spans="2:8">
      <c r="B3204" s="98"/>
      <c r="C3204" s="98"/>
      <c r="D3204" s="98"/>
      <c r="E3204" s="98"/>
      <c r="F3204" s="99"/>
      <c r="G3204" s="100"/>
      <c r="H3204" s="100"/>
    </row>
    <row r="3205" customHeight="1" spans="2:8">
      <c r="B3205" s="98"/>
      <c r="C3205" s="98"/>
      <c r="D3205" s="98"/>
      <c r="E3205" s="98"/>
      <c r="F3205" s="99"/>
      <c r="G3205" s="100"/>
      <c r="H3205" s="100"/>
    </row>
    <row r="3206" customHeight="1" spans="2:8">
      <c r="B3206" s="98"/>
      <c r="C3206" s="98"/>
      <c r="D3206" s="98"/>
      <c r="E3206" s="98"/>
      <c r="F3206" s="99"/>
      <c r="G3206" s="100"/>
      <c r="H3206" s="100"/>
    </row>
    <row r="3207" customHeight="1" spans="2:8">
      <c r="B3207" s="98"/>
      <c r="C3207" s="98"/>
      <c r="D3207" s="98"/>
      <c r="E3207" s="98"/>
      <c r="F3207" s="99"/>
      <c r="G3207" s="100"/>
      <c r="H3207" s="100"/>
    </row>
    <row r="3208" customHeight="1" spans="2:8">
      <c r="B3208" s="98"/>
      <c r="C3208" s="98"/>
      <c r="D3208" s="98"/>
      <c r="E3208" s="98"/>
      <c r="F3208" s="99"/>
      <c r="G3208" s="100"/>
      <c r="H3208" s="100"/>
    </row>
    <row r="3209" customHeight="1" spans="2:8">
      <c r="B3209" s="98"/>
      <c r="C3209" s="98"/>
      <c r="D3209" s="98"/>
      <c r="E3209" s="98"/>
      <c r="F3209" s="99"/>
      <c r="G3209" s="100"/>
      <c r="H3209" s="100"/>
    </row>
    <row r="3210" customHeight="1" spans="2:8">
      <c r="B3210" s="98"/>
      <c r="C3210" s="98"/>
      <c r="D3210" s="98"/>
      <c r="E3210" s="98"/>
      <c r="F3210" s="99"/>
      <c r="G3210" s="100"/>
      <c r="H3210" s="100"/>
    </row>
    <row r="3211" customHeight="1" spans="2:8">
      <c r="B3211" s="98"/>
      <c r="C3211" s="98"/>
      <c r="D3211" s="98"/>
      <c r="E3211" s="98"/>
      <c r="F3211" s="99"/>
      <c r="G3211" s="100"/>
      <c r="H3211" s="100"/>
    </row>
    <row r="3212" customHeight="1" spans="2:8">
      <c r="B3212" s="98"/>
      <c r="C3212" s="98"/>
      <c r="D3212" s="98"/>
      <c r="E3212" s="98"/>
      <c r="F3212" s="99"/>
      <c r="G3212" s="100"/>
      <c r="H3212" s="100"/>
    </row>
    <row r="3213" customHeight="1" spans="2:8">
      <c r="B3213" s="98"/>
      <c r="C3213" s="98"/>
      <c r="D3213" s="98"/>
      <c r="E3213" s="98"/>
      <c r="F3213" s="99"/>
      <c r="G3213" s="100"/>
      <c r="H3213" s="100"/>
    </row>
    <row r="3214" customHeight="1" spans="2:8">
      <c r="B3214" s="98"/>
      <c r="C3214" s="98"/>
      <c r="D3214" s="98"/>
      <c r="E3214" s="98"/>
      <c r="F3214" s="99"/>
      <c r="G3214" s="100"/>
      <c r="H3214" s="100"/>
    </row>
    <row r="3215" customHeight="1" spans="2:8">
      <c r="B3215" s="98"/>
      <c r="C3215" s="98"/>
      <c r="D3215" s="98"/>
      <c r="E3215" s="98"/>
      <c r="F3215" s="99"/>
      <c r="G3215" s="100"/>
      <c r="H3215" s="100"/>
    </row>
    <row r="3216" customHeight="1" spans="2:8">
      <c r="B3216" s="98"/>
      <c r="C3216" s="98"/>
      <c r="D3216" s="98"/>
      <c r="E3216" s="98"/>
      <c r="F3216" s="99"/>
      <c r="G3216" s="100"/>
      <c r="H3216" s="100"/>
    </row>
    <row r="3217" customHeight="1" spans="2:8">
      <c r="B3217" s="98"/>
      <c r="C3217" s="98"/>
      <c r="D3217" s="98"/>
      <c r="E3217" s="98"/>
      <c r="F3217" s="99"/>
      <c r="G3217" s="100"/>
      <c r="H3217" s="100"/>
    </row>
    <row r="3218" customHeight="1" spans="2:8">
      <c r="B3218" s="98"/>
      <c r="C3218" s="98"/>
      <c r="D3218" s="98"/>
      <c r="E3218" s="98"/>
      <c r="F3218" s="99"/>
      <c r="G3218" s="100"/>
      <c r="H3218" s="100"/>
    </row>
    <row r="3219" customHeight="1" spans="2:8">
      <c r="B3219" s="98"/>
      <c r="C3219" s="98"/>
      <c r="D3219" s="98"/>
      <c r="E3219" s="98"/>
      <c r="F3219" s="99"/>
      <c r="G3219" s="100"/>
      <c r="H3219" s="100"/>
    </row>
    <row r="3220" customHeight="1" spans="2:8">
      <c r="B3220" s="98"/>
      <c r="C3220" s="98"/>
      <c r="D3220" s="98"/>
      <c r="E3220" s="98"/>
      <c r="F3220" s="99"/>
      <c r="G3220" s="100"/>
      <c r="H3220" s="100"/>
    </row>
    <row r="3221" customHeight="1" spans="2:8">
      <c r="B3221" s="98"/>
      <c r="C3221" s="98"/>
      <c r="D3221" s="98"/>
      <c r="E3221" s="98"/>
      <c r="F3221" s="99"/>
      <c r="G3221" s="100"/>
      <c r="H3221" s="100"/>
    </row>
    <row r="3222" customHeight="1" spans="2:8">
      <c r="B3222" s="98"/>
      <c r="C3222" s="98"/>
      <c r="D3222" s="98"/>
      <c r="E3222" s="98"/>
      <c r="F3222" s="99"/>
      <c r="G3222" s="100"/>
      <c r="H3222" s="100"/>
    </row>
    <row r="3223" customHeight="1" spans="2:8">
      <c r="B3223" s="98"/>
      <c r="C3223" s="98"/>
      <c r="D3223" s="98"/>
      <c r="E3223" s="98"/>
      <c r="F3223" s="99"/>
      <c r="G3223" s="100"/>
      <c r="H3223" s="100"/>
    </row>
    <row r="3224" customHeight="1" spans="2:8">
      <c r="B3224" s="98"/>
      <c r="C3224" s="98"/>
      <c r="D3224" s="98"/>
      <c r="E3224" s="98"/>
      <c r="F3224" s="99"/>
      <c r="G3224" s="100"/>
      <c r="H3224" s="100"/>
    </row>
    <row r="3225" customHeight="1" spans="2:8">
      <c r="B3225" s="98"/>
      <c r="C3225" s="98"/>
      <c r="D3225" s="98"/>
      <c r="E3225" s="98"/>
      <c r="F3225" s="99"/>
      <c r="G3225" s="100"/>
      <c r="H3225" s="100"/>
    </row>
    <row r="3226" customHeight="1" spans="2:8">
      <c r="B3226" s="98"/>
      <c r="C3226" s="98"/>
      <c r="D3226" s="98"/>
      <c r="E3226" s="98"/>
      <c r="F3226" s="99"/>
      <c r="G3226" s="100"/>
      <c r="H3226" s="100"/>
    </row>
    <row r="3227" customHeight="1" spans="2:8">
      <c r="B3227" s="98"/>
      <c r="C3227" s="98"/>
      <c r="D3227" s="98"/>
      <c r="E3227" s="98"/>
      <c r="F3227" s="99"/>
      <c r="G3227" s="100"/>
      <c r="H3227" s="100"/>
    </row>
    <row r="3228" customHeight="1" spans="2:8">
      <c r="B3228" s="98"/>
      <c r="C3228" s="98"/>
      <c r="D3228" s="98"/>
      <c r="E3228" s="98"/>
      <c r="F3228" s="99"/>
      <c r="G3228" s="100"/>
      <c r="H3228" s="100"/>
    </row>
    <row r="3229" customHeight="1" spans="2:8">
      <c r="B3229" s="98"/>
      <c r="C3229" s="98"/>
      <c r="D3229" s="98"/>
      <c r="E3229" s="98"/>
      <c r="F3229" s="99"/>
      <c r="G3229" s="100"/>
      <c r="H3229" s="100"/>
    </row>
    <row r="3230" customHeight="1" spans="2:8">
      <c r="B3230" s="98"/>
      <c r="C3230" s="98"/>
      <c r="D3230" s="98"/>
      <c r="E3230" s="98"/>
      <c r="F3230" s="99"/>
      <c r="G3230" s="100"/>
      <c r="H3230" s="100"/>
    </row>
    <row r="3231" customHeight="1" spans="2:8">
      <c r="B3231" s="98"/>
      <c r="C3231" s="98"/>
      <c r="D3231" s="98"/>
      <c r="E3231" s="98"/>
      <c r="F3231" s="99"/>
      <c r="G3231" s="100"/>
      <c r="H3231" s="100"/>
    </row>
    <row r="3232" customHeight="1" spans="2:8">
      <c r="B3232" s="98"/>
      <c r="C3232" s="98"/>
      <c r="D3232" s="98"/>
      <c r="E3232" s="98"/>
      <c r="F3232" s="99"/>
      <c r="G3232" s="100"/>
      <c r="H3232" s="100"/>
    </row>
    <row r="3233" customHeight="1" spans="2:8">
      <c r="B3233" s="98"/>
      <c r="C3233" s="98"/>
      <c r="D3233" s="98"/>
      <c r="E3233" s="98"/>
      <c r="F3233" s="99"/>
      <c r="G3233" s="100"/>
      <c r="H3233" s="100"/>
    </row>
    <row r="3234" customHeight="1" spans="2:8">
      <c r="B3234" s="98"/>
      <c r="C3234" s="98"/>
      <c r="D3234" s="98"/>
      <c r="E3234" s="98"/>
      <c r="F3234" s="99"/>
      <c r="G3234" s="100"/>
      <c r="H3234" s="100"/>
    </row>
    <row r="3235" customHeight="1" spans="2:8">
      <c r="B3235" s="98"/>
      <c r="C3235" s="98"/>
      <c r="D3235" s="98"/>
      <c r="E3235" s="98"/>
      <c r="F3235" s="99"/>
      <c r="G3235" s="100"/>
      <c r="H3235" s="100"/>
    </row>
    <row r="3236" customHeight="1" spans="2:8">
      <c r="B3236" s="98"/>
      <c r="C3236" s="98"/>
      <c r="D3236" s="98"/>
      <c r="E3236" s="98"/>
      <c r="F3236" s="99"/>
      <c r="G3236" s="100"/>
      <c r="H3236" s="100"/>
    </row>
    <row r="3237" customHeight="1" spans="2:8">
      <c r="B3237" s="98"/>
      <c r="C3237" s="98"/>
      <c r="D3237" s="98"/>
      <c r="E3237" s="98"/>
      <c r="F3237" s="99"/>
      <c r="G3237" s="100"/>
      <c r="H3237" s="100"/>
    </row>
    <row r="3238" customHeight="1" spans="2:8">
      <c r="B3238" s="98"/>
      <c r="C3238" s="98"/>
      <c r="D3238" s="98"/>
      <c r="E3238" s="98"/>
      <c r="F3238" s="99"/>
      <c r="G3238" s="100"/>
      <c r="H3238" s="100"/>
    </row>
    <row r="3239" customHeight="1" spans="2:8">
      <c r="B3239" s="98"/>
      <c r="C3239" s="98"/>
      <c r="D3239" s="98"/>
      <c r="E3239" s="98"/>
      <c r="F3239" s="99"/>
      <c r="G3239" s="100"/>
      <c r="H3239" s="100"/>
    </row>
    <row r="3240" customHeight="1" spans="2:8">
      <c r="B3240" s="98"/>
      <c r="C3240" s="98"/>
      <c r="D3240" s="98"/>
      <c r="E3240" s="98"/>
      <c r="F3240" s="99"/>
      <c r="G3240" s="100"/>
      <c r="H3240" s="100"/>
    </row>
    <row r="3241" customHeight="1" spans="2:8">
      <c r="B3241" s="98"/>
      <c r="C3241" s="98"/>
      <c r="D3241" s="98"/>
      <c r="E3241" s="98"/>
      <c r="F3241" s="99"/>
      <c r="G3241" s="100"/>
      <c r="H3241" s="100"/>
    </row>
    <row r="3242" customHeight="1" spans="2:8">
      <c r="B3242" s="98"/>
      <c r="C3242" s="98"/>
      <c r="D3242" s="98"/>
      <c r="E3242" s="98"/>
      <c r="F3242" s="99"/>
      <c r="G3242" s="100"/>
      <c r="H3242" s="100"/>
    </row>
    <row r="3243" customHeight="1" spans="2:8">
      <c r="B3243" s="98"/>
      <c r="C3243" s="98"/>
      <c r="D3243" s="98"/>
      <c r="E3243" s="98"/>
      <c r="F3243" s="99"/>
      <c r="G3243" s="100"/>
      <c r="H3243" s="100"/>
    </row>
    <row r="3244" customHeight="1" spans="2:8">
      <c r="B3244" s="98"/>
      <c r="C3244" s="98"/>
      <c r="D3244" s="98"/>
      <c r="E3244" s="98"/>
      <c r="F3244" s="99"/>
      <c r="G3244" s="100"/>
      <c r="H3244" s="100"/>
    </row>
    <row r="3245" customHeight="1" spans="2:8">
      <c r="B3245" s="98"/>
      <c r="C3245" s="98"/>
      <c r="D3245" s="98"/>
      <c r="E3245" s="98"/>
      <c r="F3245" s="99"/>
      <c r="G3245" s="100"/>
      <c r="H3245" s="100"/>
    </row>
    <row r="3246" customHeight="1" spans="2:8">
      <c r="B3246" s="98"/>
      <c r="C3246" s="98"/>
      <c r="D3246" s="98"/>
      <c r="E3246" s="98"/>
      <c r="F3246" s="99"/>
      <c r="G3246" s="100"/>
      <c r="H3246" s="100"/>
    </row>
    <row r="3247" customHeight="1" spans="2:8">
      <c r="B3247" s="98"/>
      <c r="C3247" s="98"/>
      <c r="D3247" s="98"/>
      <c r="E3247" s="98"/>
      <c r="F3247" s="99"/>
      <c r="G3247" s="100"/>
      <c r="H3247" s="100"/>
    </row>
    <row r="3248" customHeight="1" spans="2:8">
      <c r="B3248" s="98"/>
      <c r="C3248" s="98"/>
      <c r="D3248" s="98"/>
      <c r="E3248" s="98"/>
      <c r="F3248" s="99"/>
      <c r="G3248" s="100"/>
      <c r="H3248" s="100"/>
    </row>
    <row r="3249" customHeight="1" spans="2:8">
      <c r="B3249" s="98"/>
      <c r="C3249" s="98"/>
      <c r="D3249" s="98"/>
      <c r="E3249" s="98"/>
      <c r="F3249" s="99"/>
      <c r="G3249" s="100"/>
      <c r="H3249" s="100"/>
    </row>
    <row r="3250" customHeight="1" spans="2:8">
      <c r="B3250" s="98"/>
      <c r="C3250" s="98"/>
      <c r="D3250" s="98"/>
      <c r="E3250" s="98"/>
      <c r="F3250" s="99"/>
      <c r="G3250" s="100"/>
      <c r="H3250" s="100"/>
    </row>
    <row r="3251" customHeight="1" spans="2:8">
      <c r="B3251" s="98"/>
      <c r="C3251" s="98"/>
      <c r="D3251" s="98"/>
      <c r="E3251" s="98"/>
      <c r="F3251" s="99"/>
      <c r="G3251" s="100"/>
      <c r="H3251" s="100"/>
    </row>
    <row r="3252" customHeight="1" spans="2:8">
      <c r="B3252" s="98"/>
      <c r="C3252" s="98"/>
      <c r="D3252" s="98"/>
      <c r="E3252" s="98"/>
      <c r="F3252" s="99"/>
      <c r="G3252" s="100"/>
      <c r="H3252" s="100"/>
    </row>
    <row r="3253" customHeight="1" spans="2:8">
      <c r="B3253" s="98"/>
      <c r="C3253" s="98"/>
      <c r="D3253" s="98"/>
      <c r="E3253" s="98"/>
      <c r="F3253" s="99"/>
      <c r="G3253" s="100"/>
      <c r="H3253" s="100"/>
    </row>
    <row r="3254" customHeight="1" spans="2:8">
      <c r="B3254" s="98"/>
      <c r="C3254" s="98"/>
      <c r="D3254" s="98"/>
      <c r="E3254" s="98"/>
      <c r="F3254" s="99"/>
      <c r="G3254" s="100"/>
      <c r="H3254" s="100"/>
    </row>
    <row r="3255" customHeight="1" spans="2:8">
      <c r="B3255" s="98"/>
      <c r="C3255" s="98"/>
      <c r="D3255" s="98"/>
      <c r="E3255" s="98"/>
      <c r="F3255" s="99"/>
      <c r="G3255" s="100"/>
      <c r="H3255" s="100"/>
    </row>
    <row r="3256" customHeight="1" spans="2:8">
      <c r="B3256" s="98"/>
      <c r="C3256" s="98"/>
      <c r="D3256" s="98"/>
      <c r="E3256" s="98"/>
      <c r="F3256" s="99"/>
      <c r="G3256" s="100"/>
      <c r="H3256" s="100"/>
    </row>
    <row r="3257" customHeight="1" spans="2:8">
      <c r="B3257" s="98"/>
      <c r="C3257" s="98"/>
      <c r="D3257" s="98"/>
      <c r="E3257" s="98"/>
      <c r="F3257" s="99"/>
      <c r="G3257" s="100"/>
      <c r="H3257" s="100"/>
    </row>
    <row r="3258" customHeight="1" spans="2:8">
      <c r="B3258" s="98"/>
      <c r="C3258" s="98"/>
      <c r="D3258" s="98"/>
      <c r="E3258" s="98"/>
      <c r="F3258" s="99"/>
      <c r="G3258" s="100"/>
      <c r="H3258" s="100"/>
    </row>
    <row r="3259" customHeight="1" spans="2:8">
      <c r="B3259" s="98"/>
      <c r="C3259" s="98"/>
      <c r="D3259" s="98"/>
      <c r="E3259" s="98"/>
      <c r="F3259" s="99"/>
      <c r="G3259" s="100"/>
      <c r="H3259" s="100"/>
    </row>
    <row r="3260" customHeight="1" spans="2:8">
      <c r="B3260" s="98"/>
      <c r="C3260" s="98"/>
      <c r="D3260" s="98"/>
      <c r="E3260" s="98"/>
      <c r="F3260" s="99"/>
      <c r="G3260" s="100"/>
      <c r="H3260" s="100"/>
    </row>
    <row r="3261" customHeight="1" spans="2:8">
      <c r="B3261" s="98"/>
      <c r="C3261" s="98"/>
      <c r="D3261" s="98"/>
      <c r="E3261" s="98"/>
      <c r="F3261" s="99"/>
      <c r="G3261" s="100"/>
      <c r="H3261" s="100"/>
    </row>
    <row r="3262" customHeight="1" spans="2:8">
      <c r="B3262" s="98"/>
      <c r="C3262" s="98"/>
      <c r="D3262" s="98"/>
      <c r="E3262" s="98"/>
      <c r="F3262" s="99"/>
      <c r="G3262" s="100"/>
      <c r="H3262" s="100"/>
    </row>
    <row r="3263" customHeight="1" spans="2:8">
      <c r="B3263" s="98"/>
      <c r="C3263" s="98"/>
      <c r="D3263" s="98"/>
      <c r="E3263" s="98"/>
      <c r="F3263" s="99"/>
      <c r="G3263" s="100"/>
      <c r="H3263" s="100"/>
    </row>
    <row r="3264" customHeight="1" spans="2:8">
      <c r="B3264" s="98"/>
      <c r="C3264" s="98"/>
      <c r="D3264" s="98"/>
      <c r="E3264" s="98"/>
      <c r="F3264" s="99"/>
      <c r="G3264" s="100"/>
      <c r="H3264" s="100"/>
    </row>
    <row r="3265" customHeight="1" spans="2:8">
      <c r="B3265" s="98"/>
      <c r="C3265" s="98"/>
      <c r="D3265" s="98"/>
      <c r="E3265" s="98"/>
      <c r="F3265" s="99"/>
      <c r="G3265" s="100"/>
      <c r="H3265" s="100"/>
    </row>
    <row r="3266" customHeight="1" spans="2:8">
      <c r="B3266" s="98"/>
      <c r="C3266" s="98"/>
      <c r="D3266" s="98"/>
      <c r="E3266" s="98"/>
      <c r="F3266" s="99"/>
      <c r="G3266" s="100"/>
      <c r="H3266" s="100"/>
    </row>
    <row r="3267" customHeight="1" spans="2:8">
      <c r="B3267" s="98"/>
      <c r="C3267" s="98"/>
      <c r="D3267" s="98"/>
      <c r="E3267" s="98"/>
      <c r="F3267" s="99"/>
      <c r="G3267" s="100"/>
      <c r="H3267" s="100"/>
    </row>
    <row r="3268" customHeight="1" spans="2:8">
      <c r="B3268" s="98"/>
      <c r="C3268" s="98"/>
      <c r="D3268" s="98"/>
      <c r="E3268" s="98"/>
      <c r="F3268" s="99"/>
      <c r="G3268" s="100"/>
      <c r="H3268" s="100"/>
    </row>
    <row r="3269" customHeight="1" spans="2:8">
      <c r="B3269" s="98"/>
      <c r="C3269" s="98"/>
      <c r="D3269" s="98"/>
      <c r="E3269" s="98"/>
      <c r="F3269" s="99"/>
      <c r="G3269" s="100"/>
      <c r="H3269" s="100"/>
    </row>
    <row r="3270" customHeight="1" spans="2:8">
      <c r="B3270" s="98"/>
      <c r="C3270" s="98"/>
      <c r="D3270" s="98"/>
      <c r="E3270" s="98"/>
      <c r="F3270" s="99"/>
      <c r="G3270" s="100"/>
      <c r="H3270" s="100"/>
    </row>
    <row r="3271" customHeight="1" spans="2:8">
      <c r="B3271" s="98"/>
      <c r="C3271" s="98"/>
      <c r="D3271" s="98"/>
      <c r="E3271" s="98"/>
      <c r="F3271" s="99"/>
      <c r="G3271" s="100"/>
      <c r="H3271" s="100"/>
    </row>
    <row r="3272" customHeight="1" spans="2:8">
      <c r="B3272" s="98"/>
      <c r="C3272" s="98"/>
      <c r="D3272" s="98"/>
      <c r="E3272" s="98"/>
      <c r="F3272" s="99"/>
      <c r="G3272" s="100"/>
      <c r="H3272" s="100"/>
    </row>
    <row r="3273" customHeight="1" spans="2:8">
      <c r="B3273" s="98"/>
      <c r="C3273" s="98"/>
      <c r="D3273" s="98"/>
      <c r="E3273" s="98"/>
      <c r="F3273" s="99"/>
      <c r="G3273" s="100"/>
      <c r="H3273" s="100"/>
    </row>
    <row r="3274" customHeight="1" spans="2:8">
      <c r="B3274" s="98"/>
      <c r="C3274" s="98"/>
      <c r="D3274" s="98"/>
      <c r="E3274" s="98"/>
      <c r="F3274" s="99"/>
      <c r="G3274" s="100"/>
      <c r="H3274" s="100"/>
    </row>
    <row r="3275" customHeight="1" spans="2:8">
      <c r="B3275" s="98"/>
      <c r="C3275" s="98"/>
      <c r="D3275" s="98"/>
      <c r="E3275" s="98"/>
      <c r="F3275" s="99"/>
      <c r="G3275" s="100"/>
      <c r="H3275" s="100"/>
    </row>
    <row r="3276" customHeight="1" spans="2:8">
      <c r="B3276" s="98"/>
      <c r="C3276" s="98"/>
      <c r="D3276" s="98"/>
      <c r="E3276" s="98"/>
      <c r="F3276" s="99"/>
      <c r="G3276" s="100"/>
      <c r="H3276" s="100"/>
    </row>
    <row r="3277" customHeight="1" spans="2:8">
      <c r="B3277" s="98"/>
      <c r="C3277" s="98"/>
      <c r="D3277" s="98"/>
      <c r="E3277" s="98"/>
      <c r="F3277" s="99"/>
      <c r="G3277" s="100"/>
      <c r="H3277" s="100"/>
    </row>
    <row r="3278" customHeight="1" spans="2:8">
      <c r="B3278" s="98"/>
      <c r="C3278" s="98"/>
      <c r="D3278" s="98"/>
      <c r="E3278" s="98"/>
      <c r="F3278" s="99"/>
      <c r="G3278" s="100"/>
      <c r="H3278" s="100"/>
    </row>
    <row r="3279" customHeight="1" spans="2:8">
      <c r="B3279" s="98"/>
      <c r="C3279" s="98"/>
      <c r="D3279" s="98"/>
      <c r="E3279" s="98"/>
      <c r="F3279" s="99"/>
      <c r="G3279" s="100"/>
      <c r="H3279" s="100"/>
    </row>
    <row r="3280" customHeight="1" spans="2:8">
      <c r="B3280" s="98"/>
      <c r="C3280" s="98"/>
      <c r="D3280" s="98"/>
      <c r="E3280" s="98"/>
      <c r="F3280" s="99"/>
      <c r="G3280" s="100"/>
      <c r="H3280" s="100"/>
    </row>
    <row r="3281" customHeight="1" spans="2:8">
      <c r="B3281" s="98"/>
      <c r="C3281" s="98"/>
      <c r="D3281" s="98"/>
      <c r="E3281" s="98"/>
      <c r="F3281" s="99"/>
      <c r="G3281" s="100"/>
      <c r="H3281" s="100"/>
    </row>
    <row r="3282" customHeight="1" spans="2:8">
      <c r="B3282" s="98"/>
      <c r="C3282" s="98"/>
      <c r="D3282" s="98"/>
      <c r="E3282" s="98"/>
      <c r="F3282" s="99"/>
      <c r="G3282" s="100"/>
      <c r="H3282" s="100"/>
    </row>
    <row r="3283" customHeight="1" spans="2:8">
      <c r="B3283" s="98"/>
      <c r="C3283" s="98"/>
      <c r="D3283" s="98"/>
      <c r="E3283" s="98"/>
      <c r="F3283" s="99"/>
      <c r="G3283" s="100"/>
      <c r="H3283" s="100"/>
    </row>
    <row r="3284" customHeight="1" spans="2:8">
      <c r="B3284" s="98"/>
      <c r="C3284" s="98"/>
      <c r="D3284" s="98"/>
      <c r="E3284" s="98"/>
      <c r="F3284" s="99"/>
      <c r="G3284" s="100"/>
      <c r="H3284" s="100"/>
    </row>
    <row r="3285" customHeight="1" spans="2:8">
      <c r="B3285" s="98"/>
      <c r="C3285" s="98"/>
      <c r="D3285" s="98"/>
      <c r="E3285" s="98"/>
      <c r="F3285" s="99"/>
      <c r="G3285" s="100"/>
      <c r="H3285" s="100"/>
    </row>
    <row r="3286" customHeight="1" spans="2:8">
      <c r="B3286" s="98"/>
      <c r="C3286" s="98"/>
      <c r="D3286" s="98"/>
      <c r="E3286" s="98"/>
      <c r="F3286" s="99"/>
      <c r="G3286" s="100"/>
      <c r="H3286" s="100"/>
    </row>
    <row r="3287" customHeight="1" spans="2:8">
      <c r="B3287" s="98"/>
      <c r="C3287" s="98"/>
      <c r="D3287" s="98"/>
      <c r="E3287" s="98"/>
      <c r="F3287" s="99"/>
      <c r="G3287" s="100"/>
      <c r="H3287" s="100"/>
    </row>
    <row r="3288" customHeight="1" spans="2:8">
      <c r="B3288" s="98"/>
      <c r="C3288" s="98"/>
      <c r="D3288" s="98"/>
      <c r="E3288" s="98"/>
      <c r="F3288" s="99"/>
      <c r="G3288" s="100"/>
      <c r="H3288" s="100"/>
    </row>
    <row r="3289" customHeight="1" spans="2:8">
      <c r="B3289" s="98"/>
      <c r="C3289" s="98"/>
      <c r="D3289" s="98"/>
      <c r="E3289" s="98"/>
      <c r="F3289" s="99"/>
      <c r="G3289" s="100"/>
      <c r="H3289" s="100"/>
    </row>
    <row r="3290" customHeight="1" spans="2:8">
      <c r="B3290" s="98"/>
      <c r="C3290" s="98"/>
      <c r="D3290" s="98"/>
      <c r="E3290" s="98"/>
      <c r="F3290" s="99"/>
      <c r="G3290" s="100"/>
      <c r="H3290" s="100"/>
    </row>
    <row r="3291" customHeight="1" spans="2:8">
      <c r="B3291" s="98"/>
      <c r="C3291" s="98"/>
      <c r="D3291" s="98"/>
      <c r="E3291" s="98"/>
      <c r="F3291" s="99"/>
      <c r="G3291" s="100"/>
      <c r="H3291" s="100"/>
    </row>
    <row r="3292" customHeight="1" spans="2:8">
      <c r="B3292" s="98"/>
      <c r="C3292" s="98"/>
      <c r="D3292" s="98"/>
      <c r="E3292" s="98"/>
      <c r="F3292" s="99"/>
      <c r="G3292" s="100"/>
      <c r="H3292" s="100"/>
    </row>
    <row r="3293" customHeight="1" spans="2:8">
      <c r="B3293" s="98"/>
      <c r="C3293" s="98"/>
      <c r="D3293" s="98"/>
      <c r="E3293" s="98"/>
      <c r="F3293" s="99"/>
      <c r="G3293" s="100"/>
      <c r="H3293" s="100"/>
    </row>
    <row r="3294" customHeight="1" spans="2:8">
      <c r="B3294" s="98"/>
      <c r="C3294" s="98"/>
      <c r="D3294" s="98"/>
      <c r="E3294" s="98"/>
      <c r="F3294" s="99"/>
      <c r="G3294" s="100"/>
      <c r="H3294" s="100"/>
    </row>
    <row r="3295" customHeight="1" spans="2:8">
      <c r="B3295" s="98"/>
      <c r="C3295" s="98"/>
      <c r="D3295" s="98"/>
      <c r="E3295" s="98"/>
      <c r="F3295" s="99"/>
      <c r="G3295" s="100"/>
      <c r="H3295" s="100"/>
    </row>
    <row r="3296" customHeight="1" spans="2:8">
      <c r="B3296" s="98"/>
      <c r="C3296" s="98"/>
      <c r="D3296" s="98"/>
      <c r="E3296" s="98"/>
      <c r="F3296" s="99"/>
      <c r="G3296" s="100"/>
      <c r="H3296" s="100"/>
    </row>
    <row r="3297" customHeight="1" spans="2:8">
      <c r="B3297" s="98"/>
      <c r="C3297" s="98"/>
      <c r="D3297" s="98"/>
      <c r="E3297" s="98"/>
      <c r="F3297" s="99"/>
      <c r="G3297" s="100"/>
      <c r="H3297" s="100"/>
    </row>
    <row r="3298" customHeight="1" spans="2:8">
      <c r="B3298" s="98"/>
      <c r="C3298" s="98"/>
      <c r="D3298" s="98"/>
      <c r="E3298" s="98"/>
      <c r="F3298" s="99"/>
      <c r="G3298" s="100"/>
      <c r="H3298" s="100"/>
    </row>
    <row r="3299" customHeight="1" spans="2:8">
      <c r="B3299" s="98"/>
      <c r="C3299" s="98"/>
      <c r="D3299" s="98"/>
      <c r="E3299" s="98"/>
      <c r="F3299" s="99"/>
      <c r="G3299" s="100"/>
      <c r="H3299" s="100"/>
    </row>
    <row r="3300" customHeight="1" spans="2:8">
      <c r="B3300" s="98"/>
      <c r="C3300" s="98"/>
      <c r="D3300" s="98"/>
      <c r="E3300" s="98"/>
      <c r="F3300" s="99"/>
      <c r="G3300" s="100"/>
      <c r="H3300" s="100"/>
    </row>
    <row r="3301" customHeight="1" spans="2:8">
      <c r="B3301" s="98"/>
      <c r="C3301" s="98"/>
      <c r="D3301" s="98"/>
      <c r="E3301" s="98"/>
      <c r="F3301" s="99"/>
      <c r="G3301" s="100"/>
      <c r="H3301" s="100"/>
    </row>
    <row r="3302" customHeight="1" spans="2:8">
      <c r="B3302" s="98"/>
      <c r="C3302" s="98"/>
      <c r="D3302" s="98"/>
      <c r="E3302" s="98"/>
      <c r="F3302" s="99"/>
      <c r="G3302" s="100"/>
      <c r="H3302" s="100"/>
    </row>
    <row r="3303" customHeight="1" spans="2:8">
      <c r="B3303" s="98"/>
      <c r="C3303" s="98"/>
      <c r="D3303" s="98"/>
      <c r="E3303" s="98"/>
      <c r="F3303" s="99"/>
      <c r="G3303" s="100"/>
      <c r="H3303" s="100"/>
    </row>
    <row r="3304" customHeight="1" spans="2:8">
      <c r="B3304" s="98"/>
      <c r="C3304" s="98"/>
      <c r="D3304" s="98"/>
      <c r="E3304" s="98"/>
      <c r="F3304" s="99"/>
      <c r="G3304" s="100"/>
      <c r="H3304" s="100"/>
    </row>
    <row r="3305" customHeight="1" spans="2:8">
      <c r="B3305" s="98"/>
      <c r="C3305" s="98"/>
      <c r="D3305" s="98"/>
      <c r="E3305" s="98"/>
      <c r="F3305" s="99"/>
      <c r="G3305" s="100"/>
      <c r="H3305" s="100"/>
    </row>
    <row r="3306" customHeight="1" spans="2:8">
      <c r="B3306" s="98"/>
      <c r="C3306" s="98"/>
      <c r="D3306" s="98"/>
      <c r="E3306" s="98"/>
      <c r="F3306" s="99"/>
      <c r="G3306" s="100"/>
      <c r="H3306" s="100"/>
    </row>
    <row r="3307" customHeight="1" spans="2:8">
      <c r="B3307" s="98"/>
      <c r="C3307" s="98"/>
      <c r="D3307" s="98"/>
      <c r="E3307" s="98"/>
      <c r="F3307" s="99"/>
      <c r="G3307" s="100"/>
      <c r="H3307" s="100"/>
    </row>
    <row r="3308" customHeight="1" spans="2:8">
      <c r="B3308" s="98"/>
      <c r="C3308" s="98"/>
      <c r="D3308" s="98"/>
      <c r="E3308" s="98"/>
      <c r="F3308" s="99"/>
      <c r="G3308" s="100"/>
      <c r="H3308" s="100"/>
    </row>
    <row r="3309" customHeight="1" spans="2:8">
      <c r="B3309" s="98"/>
      <c r="C3309" s="98"/>
      <c r="D3309" s="98"/>
      <c r="E3309" s="98"/>
      <c r="F3309" s="99"/>
      <c r="G3309" s="100"/>
      <c r="H3309" s="100"/>
    </row>
    <row r="3310" customHeight="1" spans="2:8">
      <c r="B3310" s="98"/>
      <c r="C3310" s="98"/>
      <c r="D3310" s="98"/>
      <c r="E3310" s="98"/>
      <c r="F3310" s="99"/>
      <c r="G3310" s="100"/>
      <c r="H3310" s="100"/>
    </row>
    <row r="3311" customHeight="1" spans="2:8">
      <c r="B3311" s="98"/>
      <c r="C3311" s="98"/>
      <c r="D3311" s="98"/>
      <c r="E3311" s="98"/>
      <c r="F3311" s="99"/>
      <c r="G3311" s="100"/>
      <c r="H3311" s="100"/>
    </row>
    <row r="3312" customHeight="1" spans="2:8">
      <c r="B3312" s="98"/>
      <c r="C3312" s="98"/>
      <c r="D3312" s="98"/>
      <c r="E3312" s="98"/>
      <c r="F3312" s="99"/>
      <c r="G3312" s="100"/>
      <c r="H3312" s="100"/>
    </row>
    <row r="3313" customHeight="1" spans="2:8">
      <c r="B3313" s="98"/>
      <c r="C3313" s="98"/>
      <c r="D3313" s="98"/>
      <c r="E3313" s="98"/>
      <c r="F3313" s="99"/>
      <c r="G3313" s="100"/>
      <c r="H3313" s="100"/>
    </row>
    <row r="3314" customHeight="1" spans="2:8">
      <c r="B3314" s="98"/>
      <c r="C3314" s="98"/>
      <c r="D3314" s="98"/>
      <c r="E3314" s="98"/>
      <c r="F3314" s="99"/>
      <c r="G3314" s="100"/>
      <c r="H3314" s="100"/>
    </row>
    <row r="3315" customHeight="1" spans="2:8">
      <c r="B3315" s="98"/>
      <c r="C3315" s="98"/>
      <c r="D3315" s="98"/>
      <c r="E3315" s="98"/>
      <c r="F3315" s="99"/>
      <c r="G3315" s="100"/>
      <c r="H3315" s="100"/>
    </row>
    <row r="3316" customHeight="1" spans="2:8">
      <c r="B3316" s="98"/>
      <c r="C3316" s="98"/>
      <c r="D3316" s="98"/>
      <c r="E3316" s="98"/>
      <c r="F3316" s="99"/>
      <c r="G3316" s="100"/>
      <c r="H3316" s="100"/>
    </row>
    <row r="3317" customHeight="1" spans="2:8">
      <c r="B3317" s="98"/>
      <c r="C3317" s="98"/>
      <c r="D3317" s="98"/>
      <c r="E3317" s="98"/>
      <c r="F3317" s="99"/>
      <c r="G3317" s="100"/>
      <c r="H3317" s="100"/>
    </row>
    <row r="3318" customHeight="1" spans="2:8">
      <c r="B3318" s="98"/>
      <c r="C3318" s="98"/>
      <c r="D3318" s="98"/>
      <c r="E3318" s="98"/>
      <c r="F3318" s="99"/>
      <c r="G3318" s="100"/>
      <c r="H3318" s="100"/>
    </row>
    <row r="3319" customHeight="1" spans="2:8">
      <c r="B3319" s="98"/>
      <c r="C3319" s="98"/>
      <c r="D3319" s="98"/>
      <c r="E3319" s="98"/>
      <c r="F3319" s="99"/>
      <c r="G3319" s="100"/>
      <c r="H3319" s="100"/>
    </row>
    <row r="3320" customHeight="1" spans="2:8">
      <c r="B3320" s="98"/>
      <c r="C3320" s="98"/>
      <c r="D3320" s="98"/>
      <c r="E3320" s="98"/>
      <c r="F3320" s="99"/>
      <c r="G3320" s="100"/>
      <c r="H3320" s="100"/>
    </row>
    <row r="3321" customHeight="1" spans="2:8">
      <c r="B3321" s="98"/>
      <c r="C3321" s="98"/>
      <c r="D3321" s="98"/>
      <c r="E3321" s="98"/>
      <c r="F3321" s="99"/>
      <c r="G3321" s="100"/>
      <c r="H3321" s="100"/>
    </row>
    <row r="3322" customHeight="1" spans="2:8">
      <c r="B3322" s="98"/>
      <c r="C3322" s="98"/>
      <c r="D3322" s="98"/>
      <c r="E3322" s="98"/>
      <c r="F3322" s="99"/>
      <c r="G3322" s="100"/>
      <c r="H3322" s="100"/>
    </row>
    <row r="3323" customHeight="1" spans="2:8">
      <c r="B3323" s="98"/>
      <c r="C3323" s="98"/>
      <c r="D3323" s="98"/>
      <c r="E3323" s="98"/>
      <c r="F3323" s="99"/>
      <c r="G3323" s="100"/>
      <c r="H3323" s="100"/>
    </row>
    <row r="3324" customHeight="1" spans="2:8">
      <c r="B3324" s="98"/>
      <c r="C3324" s="98"/>
      <c r="D3324" s="98"/>
      <c r="E3324" s="98"/>
      <c r="F3324" s="99"/>
      <c r="G3324" s="100"/>
      <c r="H3324" s="100"/>
    </row>
    <row r="3325" customHeight="1" spans="2:8">
      <c r="B3325" s="98"/>
      <c r="C3325" s="98"/>
      <c r="D3325" s="98"/>
      <c r="E3325" s="98"/>
      <c r="F3325" s="99"/>
      <c r="G3325" s="100"/>
      <c r="H3325" s="100"/>
    </row>
    <row r="3326" customHeight="1" spans="2:8">
      <c r="B3326" s="98"/>
      <c r="C3326" s="98"/>
      <c r="D3326" s="98"/>
      <c r="E3326" s="98"/>
      <c r="F3326" s="99"/>
      <c r="G3326" s="100"/>
      <c r="H3326" s="100"/>
    </row>
    <row r="3327" customHeight="1" spans="2:8">
      <c r="B3327" s="98"/>
      <c r="C3327" s="98"/>
      <c r="D3327" s="98"/>
      <c r="E3327" s="98"/>
      <c r="F3327" s="99"/>
      <c r="G3327" s="100"/>
      <c r="H3327" s="100"/>
    </row>
    <row r="3328" customHeight="1" spans="2:8">
      <c r="B3328" s="98"/>
      <c r="C3328" s="98"/>
      <c r="D3328" s="98"/>
      <c r="E3328" s="98"/>
      <c r="F3328" s="99"/>
      <c r="G3328" s="100"/>
      <c r="H3328" s="100"/>
    </row>
    <row r="3329" customHeight="1" spans="2:8">
      <c r="B3329" s="98"/>
      <c r="C3329" s="98"/>
      <c r="D3329" s="98"/>
      <c r="E3329" s="98"/>
      <c r="F3329" s="99"/>
      <c r="G3329" s="100"/>
      <c r="H3329" s="100"/>
    </row>
    <row r="3330" customHeight="1" spans="2:8">
      <c r="B3330" s="98"/>
      <c r="C3330" s="98"/>
      <c r="D3330" s="98"/>
      <c r="E3330" s="98"/>
      <c r="F3330" s="99"/>
      <c r="G3330" s="100"/>
      <c r="H3330" s="100"/>
    </row>
    <row r="3331" customHeight="1" spans="2:8">
      <c r="B3331" s="98"/>
      <c r="C3331" s="98"/>
      <c r="D3331" s="98"/>
      <c r="E3331" s="98"/>
      <c r="F3331" s="99"/>
      <c r="G3331" s="100"/>
      <c r="H3331" s="100"/>
    </row>
    <row r="3332" customHeight="1" spans="2:8">
      <c r="B3332" s="98"/>
      <c r="C3332" s="98"/>
      <c r="D3332" s="98"/>
      <c r="E3332" s="98"/>
      <c r="F3332" s="99"/>
      <c r="G3332" s="100"/>
      <c r="H3332" s="100"/>
    </row>
    <row r="3333" customHeight="1" spans="2:8">
      <c r="B3333" s="98"/>
      <c r="C3333" s="98"/>
      <c r="D3333" s="98"/>
      <c r="E3333" s="98"/>
      <c r="F3333" s="99"/>
      <c r="G3333" s="100"/>
      <c r="H3333" s="100"/>
    </row>
    <row r="3334" customHeight="1" spans="2:8">
      <c r="B3334" s="98"/>
      <c r="C3334" s="98"/>
      <c r="D3334" s="98"/>
      <c r="E3334" s="98"/>
      <c r="F3334" s="99"/>
      <c r="G3334" s="100"/>
      <c r="H3334" s="100"/>
    </row>
    <row r="3335" customHeight="1" spans="2:8">
      <c r="B3335" s="98"/>
      <c r="C3335" s="98"/>
      <c r="D3335" s="98"/>
      <c r="E3335" s="98"/>
      <c r="F3335" s="99"/>
      <c r="G3335" s="100"/>
      <c r="H3335" s="100"/>
    </row>
    <row r="3336" customHeight="1" spans="2:8">
      <c r="B3336" s="98"/>
      <c r="C3336" s="98"/>
      <c r="D3336" s="98"/>
      <c r="E3336" s="98"/>
      <c r="F3336" s="99"/>
      <c r="G3336" s="100"/>
      <c r="H3336" s="100"/>
    </row>
    <row r="3337" customHeight="1" spans="2:8">
      <c r="B3337" s="98"/>
      <c r="C3337" s="98"/>
      <c r="D3337" s="98"/>
      <c r="E3337" s="98"/>
      <c r="F3337" s="99"/>
      <c r="G3337" s="100"/>
      <c r="H3337" s="100"/>
    </row>
    <row r="3338" customHeight="1" spans="2:8">
      <c r="B3338" s="98"/>
      <c r="C3338" s="98"/>
      <c r="D3338" s="98"/>
      <c r="E3338" s="98"/>
      <c r="F3338" s="99"/>
      <c r="G3338" s="100"/>
      <c r="H3338" s="100"/>
    </row>
    <row r="3339" customHeight="1" spans="2:8">
      <c r="B3339" s="98"/>
      <c r="C3339" s="98"/>
      <c r="D3339" s="98"/>
      <c r="E3339" s="98"/>
      <c r="F3339" s="99"/>
      <c r="G3339" s="100"/>
      <c r="H3339" s="100"/>
    </row>
    <row r="3340" customHeight="1" spans="2:8">
      <c r="B3340" s="98"/>
      <c r="C3340" s="98"/>
      <c r="D3340" s="98"/>
      <c r="E3340" s="98"/>
      <c r="F3340" s="99"/>
      <c r="G3340" s="100"/>
      <c r="H3340" s="100"/>
    </row>
    <row r="3341" customHeight="1" spans="2:8">
      <c r="B3341" s="98"/>
      <c r="C3341" s="98"/>
      <c r="D3341" s="98"/>
      <c r="E3341" s="98"/>
      <c r="F3341" s="99"/>
      <c r="G3341" s="100"/>
      <c r="H3341" s="100"/>
    </row>
    <row r="3342" customHeight="1" spans="2:8">
      <c r="B3342" s="98"/>
      <c r="C3342" s="98"/>
      <c r="D3342" s="98"/>
      <c r="E3342" s="98"/>
      <c r="F3342" s="99"/>
      <c r="G3342" s="100"/>
      <c r="H3342" s="100"/>
    </row>
    <row r="3343" customHeight="1" spans="2:8">
      <c r="B3343" s="98"/>
      <c r="C3343" s="98"/>
      <c r="D3343" s="98"/>
      <c r="E3343" s="98"/>
      <c r="F3343" s="99"/>
      <c r="G3343" s="100"/>
      <c r="H3343" s="100"/>
    </row>
    <row r="3344" customHeight="1" spans="2:8">
      <c r="B3344" s="98"/>
      <c r="C3344" s="98"/>
      <c r="D3344" s="98"/>
      <c r="E3344" s="98"/>
      <c r="F3344" s="99"/>
      <c r="G3344" s="100"/>
      <c r="H3344" s="100"/>
    </row>
    <row r="3345" customHeight="1" spans="2:8">
      <c r="B3345" s="98"/>
      <c r="C3345" s="98"/>
      <c r="D3345" s="98"/>
      <c r="E3345" s="98"/>
      <c r="F3345" s="99"/>
      <c r="G3345" s="100"/>
      <c r="H3345" s="100"/>
    </row>
    <row r="3346" customHeight="1" spans="2:8">
      <c r="B3346" s="98"/>
      <c r="C3346" s="98"/>
      <c r="D3346" s="98"/>
      <c r="E3346" s="98"/>
      <c r="F3346" s="99"/>
      <c r="G3346" s="100"/>
      <c r="H3346" s="100"/>
    </row>
    <row r="3347" customHeight="1" spans="2:8">
      <c r="B3347" s="98"/>
      <c r="C3347" s="98"/>
      <c r="D3347" s="98"/>
      <c r="E3347" s="98"/>
      <c r="F3347" s="99"/>
      <c r="G3347" s="100"/>
      <c r="H3347" s="100"/>
    </row>
    <row r="3348" customHeight="1" spans="2:8">
      <c r="B3348" s="98"/>
      <c r="C3348" s="98"/>
      <c r="D3348" s="98"/>
      <c r="E3348" s="98"/>
      <c r="F3348" s="99"/>
      <c r="G3348" s="100"/>
      <c r="H3348" s="100"/>
    </row>
    <row r="3349" customHeight="1" spans="2:8">
      <c r="B3349" s="98"/>
      <c r="C3349" s="98"/>
      <c r="D3349" s="98"/>
      <c r="E3349" s="98"/>
      <c r="F3349" s="99"/>
      <c r="G3349" s="100"/>
      <c r="H3349" s="100"/>
    </row>
    <row r="3350" customHeight="1" spans="2:8">
      <c r="B3350" s="98"/>
      <c r="C3350" s="98"/>
      <c r="D3350" s="98"/>
      <c r="E3350" s="98"/>
      <c r="F3350" s="99"/>
      <c r="G3350" s="100"/>
      <c r="H3350" s="100"/>
    </row>
    <row r="3351" customHeight="1" spans="2:8">
      <c r="B3351" s="98"/>
      <c r="C3351" s="98"/>
      <c r="D3351" s="98"/>
      <c r="E3351" s="98"/>
      <c r="F3351" s="99"/>
      <c r="G3351" s="100"/>
      <c r="H3351" s="100"/>
    </row>
    <row r="3352" customHeight="1" spans="2:8">
      <c r="B3352" s="98"/>
      <c r="C3352" s="98"/>
      <c r="D3352" s="98"/>
      <c r="E3352" s="98"/>
      <c r="F3352" s="99"/>
      <c r="G3352" s="100"/>
      <c r="H3352" s="100"/>
    </row>
    <row r="3353" customHeight="1" spans="2:8">
      <c r="B3353" s="98"/>
      <c r="C3353" s="98"/>
      <c r="D3353" s="98"/>
      <c r="E3353" s="98"/>
      <c r="F3353" s="99"/>
      <c r="G3353" s="100"/>
      <c r="H3353" s="100"/>
    </row>
    <row r="3354" customHeight="1" spans="2:8">
      <c r="B3354" s="98"/>
      <c r="C3354" s="98"/>
      <c r="D3354" s="98"/>
      <c r="E3354" s="98"/>
      <c r="F3354" s="99"/>
      <c r="G3354" s="100"/>
      <c r="H3354" s="100"/>
    </row>
    <row r="3355" customHeight="1" spans="2:8">
      <c r="B3355" s="98"/>
      <c r="C3355" s="98"/>
      <c r="D3355" s="98"/>
      <c r="E3355" s="98"/>
      <c r="F3355" s="99"/>
      <c r="G3355" s="100"/>
      <c r="H3355" s="100"/>
    </row>
    <row r="3356" customHeight="1" spans="2:8">
      <c r="B3356" s="98"/>
      <c r="C3356" s="98"/>
      <c r="D3356" s="98"/>
      <c r="E3356" s="98"/>
      <c r="F3356" s="99"/>
      <c r="G3356" s="100"/>
      <c r="H3356" s="100"/>
    </row>
    <row r="3357" customHeight="1" spans="2:8">
      <c r="B3357" s="98"/>
      <c r="C3357" s="98"/>
      <c r="D3357" s="98"/>
      <c r="E3357" s="98"/>
      <c r="F3357" s="99"/>
      <c r="G3357" s="100"/>
      <c r="H3357" s="100"/>
    </row>
    <row r="3358" customHeight="1" spans="2:8">
      <c r="B3358" s="98"/>
      <c r="C3358" s="98"/>
      <c r="D3358" s="98"/>
      <c r="E3358" s="98"/>
      <c r="F3358" s="99"/>
      <c r="G3358" s="100"/>
      <c r="H3358" s="100"/>
    </row>
    <row r="3359" customHeight="1" spans="2:8">
      <c r="B3359" s="98"/>
      <c r="C3359" s="98"/>
      <c r="D3359" s="98"/>
      <c r="E3359" s="98"/>
      <c r="F3359" s="99"/>
      <c r="G3359" s="100"/>
      <c r="H3359" s="100"/>
    </row>
    <row r="3360" customHeight="1" spans="2:8">
      <c r="B3360" s="98"/>
      <c r="C3360" s="98"/>
      <c r="D3360" s="98"/>
      <c r="E3360" s="98"/>
      <c r="F3360" s="99"/>
      <c r="G3360" s="100"/>
      <c r="H3360" s="100"/>
    </row>
    <row r="3361" customHeight="1" spans="2:8">
      <c r="B3361" s="98"/>
      <c r="C3361" s="98"/>
      <c r="D3361" s="98"/>
      <c r="E3361" s="98"/>
      <c r="F3361" s="99"/>
      <c r="G3361" s="100"/>
      <c r="H3361" s="100"/>
    </row>
    <row r="3362" customHeight="1" spans="2:8">
      <c r="B3362" s="98"/>
      <c r="C3362" s="98"/>
      <c r="D3362" s="98"/>
      <c r="E3362" s="98"/>
      <c r="F3362" s="99"/>
      <c r="G3362" s="100"/>
      <c r="H3362" s="100"/>
    </row>
    <row r="3363" customHeight="1" spans="2:8">
      <c r="B3363" s="98"/>
      <c r="C3363" s="98"/>
      <c r="D3363" s="98"/>
      <c r="E3363" s="98"/>
      <c r="F3363" s="99"/>
      <c r="G3363" s="100"/>
      <c r="H3363" s="100"/>
    </row>
    <row r="3364" customHeight="1" spans="2:8">
      <c r="B3364" s="98"/>
      <c r="C3364" s="98"/>
      <c r="D3364" s="98"/>
      <c r="E3364" s="98"/>
      <c r="F3364" s="99"/>
      <c r="G3364" s="100"/>
      <c r="H3364" s="100"/>
    </row>
    <row r="3365" customHeight="1" spans="2:8">
      <c r="B3365" s="98"/>
      <c r="C3365" s="98"/>
      <c r="D3365" s="98"/>
      <c r="E3365" s="98"/>
      <c r="F3365" s="99"/>
      <c r="G3365" s="100"/>
      <c r="H3365" s="100"/>
    </row>
    <row r="3366" customHeight="1" spans="2:8">
      <c r="B3366" s="98"/>
      <c r="C3366" s="98"/>
      <c r="D3366" s="98"/>
      <c r="E3366" s="98"/>
      <c r="F3366" s="99"/>
      <c r="G3366" s="100"/>
      <c r="H3366" s="100"/>
    </row>
    <row r="3367" customHeight="1" spans="2:8">
      <c r="B3367" s="98"/>
      <c r="C3367" s="98"/>
      <c r="D3367" s="98"/>
      <c r="E3367" s="98"/>
      <c r="F3367" s="99"/>
      <c r="G3367" s="100"/>
      <c r="H3367" s="100"/>
    </row>
    <row r="3368" customHeight="1" spans="2:8">
      <c r="B3368" s="98"/>
      <c r="C3368" s="98"/>
      <c r="D3368" s="98"/>
      <c r="E3368" s="98"/>
      <c r="F3368" s="99"/>
      <c r="G3368" s="100"/>
      <c r="H3368" s="100"/>
    </row>
    <row r="3369" customHeight="1" spans="2:8">
      <c r="B3369" s="98"/>
      <c r="C3369" s="98"/>
      <c r="D3369" s="98"/>
      <c r="E3369" s="98"/>
      <c r="F3369" s="99"/>
      <c r="G3369" s="100"/>
      <c r="H3369" s="100"/>
    </row>
    <row r="3370" customHeight="1" spans="2:8">
      <c r="B3370" s="98"/>
      <c r="C3370" s="98"/>
      <c r="D3370" s="98"/>
      <c r="E3370" s="98"/>
      <c r="F3370" s="99"/>
      <c r="G3370" s="100"/>
      <c r="H3370" s="100"/>
    </row>
    <row r="3371" customHeight="1" spans="2:8">
      <c r="B3371" s="98"/>
      <c r="C3371" s="98"/>
      <c r="D3371" s="98"/>
      <c r="E3371" s="98"/>
      <c r="F3371" s="99"/>
      <c r="G3371" s="100"/>
      <c r="H3371" s="100"/>
    </row>
    <row r="3372" customHeight="1" spans="2:8">
      <c r="B3372" s="98"/>
      <c r="C3372" s="98"/>
      <c r="D3372" s="98"/>
      <c r="E3372" s="98"/>
      <c r="F3372" s="99"/>
      <c r="G3372" s="100"/>
      <c r="H3372" s="100"/>
    </row>
    <row r="3373" customHeight="1" spans="2:8">
      <c r="B3373" s="98"/>
      <c r="C3373" s="98"/>
      <c r="D3373" s="98"/>
      <c r="E3373" s="98"/>
      <c r="F3373" s="99"/>
      <c r="G3373" s="100"/>
      <c r="H3373" s="100"/>
    </row>
    <row r="3374" customHeight="1" spans="2:8">
      <c r="B3374" s="98"/>
      <c r="C3374" s="98"/>
      <c r="D3374" s="98"/>
      <c r="E3374" s="98"/>
      <c r="F3374" s="99"/>
      <c r="G3374" s="100"/>
      <c r="H3374" s="100"/>
    </row>
    <row r="3375" customHeight="1" spans="2:8">
      <c r="B3375" s="98"/>
      <c r="C3375" s="98"/>
      <c r="D3375" s="98"/>
      <c r="E3375" s="98"/>
      <c r="F3375" s="99"/>
      <c r="G3375" s="100"/>
      <c r="H3375" s="100"/>
    </row>
    <row r="3376" customHeight="1" spans="2:8">
      <c r="B3376" s="98"/>
      <c r="C3376" s="98"/>
      <c r="D3376" s="98"/>
      <c r="E3376" s="98"/>
      <c r="F3376" s="99"/>
      <c r="G3376" s="100"/>
      <c r="H3376" s="100"/>
    </row>
    <row r="3377" customHeight="1" spans="2:8">
      <c r="B3377" s="98"/>
      <c r="C3377" s="98"/>
      <c r="D3377" s="98"/>
      <c r="E3377" s="98"/>
      <c r="F3377" s="99"/>
      <c r="G3377" s="100"/>
      <c r="H3377" s="100"/>
    </row>
    <row r="3378" customHeight="1" spans="2:8">
      <c r="B3378" s="98"/>
      <c r="C3378" s="98"/>
      <c r="D3378" s="98"/>
      <c r="E3378" s="98"/>
      <c r="F3378" s="99"/>
      <c r="G3378" s="100"/>
      <c r="H3378" s="100"/>
    </row>
    <row r="3379" customHeight="1" spans="2:8">
      <c r="B3379" s="98"/>
      <c r="C3379" s="98"/>
      <c r="D3379" s="98"/>
      <c r="E3379" s="98"/>
      <c r="F3379" s="99"/>
      <c r="G3379" s="100"/>
      <c r="H3379" s="100"/>
    </row>
    <row r="3380" customHeight="1" spans="2:8">
      <c r="B3380" s="98"/>
      <c r="C3380" s="98"/>
      <c r="D3380" s="98"/>
      <c r="E3380" s="98"/>
      <c r="F3380" s="99"/>
      <c r="G3380" s="100"/>
      <c r="H3380" s="100"/>
    </row>
    <row r="3381" customHeight="1" spans="2:8">
      <c r="B3381" s="98"/>
      <c r="C3381" s="98"/>
      <c r="D3381" s="98"/>
      <c r="E3381" s="98"/>
      <c r="F3381" s="99"/>
      <c r="G3381" s="100"/>
      <c r="H3381" s="100"/>
    </row>
    <row r="3382" customHeight="1" spans="2:8">
      <c r="B3382" s="98"/>
      <c r="C3382" s="98"/>
      <c r="D3382" s="98"/>
      <c r="E3382" s="98"/>
      <c r="F3382" s="99"/>
      <c r="G3382" s="100"/>
      <c r="H3382" s="100"/>
    </row>
    <row r="3383" customHeight="1" spans="2:8">
      <c r="B3383" s="98"/>
      <c r="C3383" s="98"/>
      <c r="D3383" s="98"/>
      <c r="E3383" s="98"/>
      <c r="F3383" s="99"/>
      <c r="G3383" s="100"/>
      <c r="H3383" s="100"/>
    </row>
    <row r="3384" customHeight="1" spans="2:8">
      <c r="B3384" s="98"/>
      <c r="C3384" s="98"/>
      <c r="D3384" s="98"/>
      <c r="E3384" s="98"/>
      <c r="F3384" s="99"/>
      <c r="G3384" s="100"/>
      <c r="H3384" s="100"/>
    </row>
    <row r="3385" customHeight="1" spans="2:8">
      <c r="B3385" s="98"/>
      <c r="C3385" s="98"/>
      <c r="D3385" s="98"/>
      <c r="E3385" s="98"/>
      <c r="F3385" s="99"/>
      <c r="G3385" s="100"/>
      <c r="H3385" s="100"/>
    </row>
    <row r="3386" customHeight="1" spans="2:8">
      <c r="B3386" s="98"/>
      <c r="C3386" s="98"/>
      <c r="D3386" s="98"/>
      <c r="E3386" s="98"/>
      <c r="F3386" s="99"/>
      <c r="G3386" s="100"/>
      <c r="H3386" s="100"/>
    </row>
    <row r="3387" customHeight="1" spans="2:8">
      <c r="B3387" s="98"/>
      <c r="C3387" s="98"/>
      <c r="D3387" s="98"/>
      <c r="E3387" s="98"/>
      <c r="F3387" s="99"/>
      <c r="G3387" s="100"/>
      <c r="H3387" s="100"/>
    </row>
    <row r="3388" customHeight="1" spans="2:8">
      <c r="B3388" s="98"/>
      <c r="C3388" s="98"/>
      <c r="D3388" s="98"/>
      <c r="E3388" s="98"/>
      <c r="F3388" s="99"/>
      <c r="G3388" s="100"/>
      <c r="H3388" s="100"/>
    </row>
    <row r="3389" customHeight="1" spans="2:8">
      <c r="B3389" s="98"/>
      <c r="C3389" s="98"/>
      <c r="D3389" s="98"/>
      <c r="E3389" s="98"/>
      <c r="F3389" s="99"/>
      <c r="G3389" s="100"/>
      <c r="H3389" s="100"/>
    </row>
    <row r="3390" customHeight="1" spans="2:8">
      <c r="B3390" s="98"/>
      <c r="C3390" s="98"/>
      <c r="D3390" s="98"/>
      <c r="E3390" s="98"/>
      <c r="F3390" s="99"/>
      <c r="G3390" s="100"/>
      <c r="H3390" s="100"/>
    </row>
    <row r="3391" customHeight="1" spans="2:8">
      <c r="B3391" s="98"/>
      <c r="C3391" s="98"/>
      <c r="D3391" s="98"/>
      <c r="E3391" s="98"/>
      <c r="F3391" s="99"/>
      <c r="G3391" s="100"/>
      <c r="H3391" s="100"/>
    </row>
    <row r="3392" customHeight="1" spans="2:8">
      <c r="B3392" s="98"/>
      <c r="C3392" s="98"/>
      <c r="D3392" s="98"/>
      <c r="E3392" s="98"/>
      <c r="F3392" s="99"/>
      <c r="G3392" s="100"/>
      <c r="H3392" s="100"/>
    </row>
    <row r="3393" customHeight="1" spans="2:8">
      <c r="B3393" s="98"/>
      <c r="C3393" s="98"/>
      <c r="D3393" s="98"/>
      <c r="E3393" s="98"/>
      <c r="F3393" s="99"/>
      <c r="G3393" s="100"/>
      <c r="H3393" s="100"/>
    </row>
    <row r="3394" customHeight="1" spans="2:8">
      <c r="B3394" s="98"/>
      <c r="C3394" s="98"/>
      <c r="D3394" s="98"/>
      <c r="E3394" s="98"/>
      <c r="F3394" s="99"/>
      <c r="G3394" s="100"/>
      <c r="H3394" s="100"/>
    </row>
    <row r="3395" customHeight="1" spans="2:8">
      <c r="B3395" s="98"/>
      <c r="C3395" s="98"/>
      <c r="D3395" s="98"/>
      <c r="E3395" s="98"/>
      <c r="F3395" s="99"/>
      <c r="G3395" s="100"/>
      <c r="H3395" s="100"/>
    </row>
    <row r="3396" customHeight="1" spans="2:8">
      <c r="B3396" s="98"/>
      <c r="C3396" s="98"/>
      <c r="D3396" s="98"/>
      <c r="E3396" s="98"/>
      <c r="F3396" s="99"/>
      <c r="G3396" s="100"/>
      <c r="H3396" s="100"/>
    </row>
    <row r="3397" customHeight="1" spans="2:8">
      <c r="B3397" s="98"/>
      <c r="C3397" s="98"/>
      <c r="D3397" s="98"/>
      <c r="E3397" s="98"/>
      <c r="F3397" s="99"/>
      <c r="G3397" s="100"/>
      <c r="H3397" s="100"/>
    </row>
    <row r="3398" customHeight="1" spans="2:8">
      <c r="B3398" s="98"/>
      <c r="C3398" s="98"/>
      <c r="D3398" s="98"/>
      <c r="E3398" s="98"/>
      <c r="F3398" s="99"/>
      <c r="G3398" s="100"/>
      <c r="H3398" s="100"/>
    </row>
    <row r="3399" customHeight="1" spans="2:8">
      <c r="B3399" s="98"/>
      <c r="C3399" s="98"/>
      <c r="D3399" s="98"/>
      <c r="E3399" s="98"/>
      <c r="F3399" s="99"/>
      <c r="G3399" s="100"/>
      <c r="H3399" s="100"/>
    </row>
    <row r="3400" customHeight="1" spans="2:8">
      <c r="B3400" s="98"/>
      <c r="C3400" s="98"/>
      <c r="D3400" s="98"/>
      <c r="E3400" s="98"/>
      <c r="F3400" s="99"/>
      <c r="G3400" s="100"/>
      <c r="H3400" s="100"/>
    </row>
    <row r="3401" customHeight="1" spans="2:8">
      <c r="B3401" s="98"/>
      <c r="C3401" s="98"/>
      <c r="D3401" s="98"/>
      <c r="E3401" s="98"/>
      <c r="F3401" s="99"/>
      <c r="G3401" s="100"/>
      <c r="H3401" s="100"/>
    </row>
    <row r="3402" customHeight="1" spans="2:8">
      <c r="B3402" s="98"/>
      <c r="C3402" s="98"/>
      <c r="D3402" s="98"/>
      <c r="E3402" s="98"/>
      <c r="F3402" s="99"/>
      <c r="G3402" s="100"/>
      <c r="H3402" s="100"/>
    </row>
    <row r="3403" customHeight="1" spans="2:8">
      <c r="B3403" s="98"/>
      <c r="C3403" s="98"/>
      <c r="D3403" s="98"/>
      <c r="E3403" s="98"/>
      <c r="F3403" s="99"/>
      <c r="G3403" s="100"/>
      <c r="H3403" s="100"/>
    </row>
    <row r="3404" customHeight="1" spans="2:8">
      <c r="B3404" s="98"/>
      <c r="C3404" s="98"/>
      <c r="D3404" s="98"/>
      <c r="E3404" s="98"/>
      <c r="F3404" s="99"/>
      <c r="G3404" s="100"/>
      <c r="H3404" s="100"/>
    </row>
    <row r="3405" customHeight="1" spans="2:8">
      <c r="B3405" s="98"/>
      <c r="C3405" s="98"/>
      <c r="D3405" s="98"/>
      <c r="E3405" s="98"/>
      <c r="F3405" s="99"/>
      <c r="G3405" s="100"/>
      <c r="H3405" s="100"/>
    </row>
    <row r="3406" customHeight="1" spans="2:8">
      <c r="B3406" s="98"/>
      <c r="C3406" s="98"/>
      <c r="D3406" s="98"/>
      <c r="E3406" s="98"/>
      <c r="F3406" s="99"/>
      <c r="G3406" s="100"/>
      <c r="H3406" s="100"/>
    </row>
    <row r="3407" customHeight="1" spans="2:8">
      <c r="B3407" s="98"/>
      <c r="C3407" s="98"/>
      <c r="D3407" s="98"/>
      <c r="E3407" s="98"/>
      <c r="F3407" s="99"/>
      <c r="G3407" s="100"/>
      <c r="H3407" s="100"/>
    </row>
    <row r="3408" customHeight="1" spans="2:8">
      <c r="B3408" s="98"/>
      <c r="C3408" s="98"/>
      <c r="D3408" s="98"/>
      <c r="E3408" s="98"/>
      <c r="F3408" s="99"/>
      <c r="G3408" s="100"/>
      <c r="H3408" s="100"/>
    </row>
    <row r="3409" customHeight="1" spans="2:8">
      <c r="B3409" s="98"/>
      <c r="C3409" s="98"/>
      <c r="D3409" s="98"/>
      <c r="E3409" s="98"/>
      <c r="F3409" s="99"/>
      <c r="G3409" s="100"/>
      <c r="H3409" s="100"/>
    </row>
    <row r="3410" customHeight="1" spans="2:8">
      <c r="B3410" s="98"/>
      <c r="C3410" s="98"/>
      <c r="D3410" s="98"/>
      <c r="E3410" s="98"/>
      <c r="F3410" s="99"/>
      <c r="G3410" s="100"/>
      <c r="H3410" s="100"/>
    </row>
    <row r="3411" customHeight="1" spans="2:8">
      <c r="B3411" s="98"/>
      <c r="C3411" s="98"/>
      <c r="D3411" s="98"/>
      <c r="E3411" s="98"/>
      <c r="F3411" s="99"/>
      <c r="G3411" s="100"/>
      <c r="H3411" s="100"/>
    </row>
    <row r="3412" customHeight="1" spans="2:8">
      <c r="B3412" s="98"/>
      <c r="C3412" s="98"/>
      <c r="D3412" s="98"/>
      <c r="E3412" s="98"/>
      <c r="F3412" s="99"/>
      <c r="G3412" s="100"/>
      <c r="H3412" s="100"/>
    </row>
    <row r="3413" customHeight="1" spans="2:8">
      <c r="B3413" s="98"/>
      <c r="C3413" s="98"/>
      <c r="D3413" s="98"/>
      <c r="E3413" s="98"/>
      <c r="F3413" s="99"/>
      <c r="G3413" s="100"/>
      <c r="H3413" s="100"/>
    </row>
    <row r="3414" customHeight="1" spans="2:8">
      <c r="B3414" s="98"/>
      <c r="C3414" s="98"/>
      <c r="D3414" s="98"/>
      <c r="E3414" s="98"/>
      <c r="F3414" s="99"/>
      <c r="G3414" s="100"/>
      <c r="H3414" s="100"/>
    </row>
    <row r="3415" customHeight="1" spans="2:8">
      <c r="B3415" s="98"/>
      <c r="C3415" s="98"/>
      <c r="D3415" s="98"/>
      <c r="E3415" s="98"/>
      <c r="F3415" s="99"/>
      <c r="G3415" s="100"/>
      <c r="H3415" s="100"/>
    </row>
    <row r="3416" customHeight="1" spans="2:8">
      <c r="B3416" s="98"/>
      <c r="C3416" s="98"/>
      <c r="D3416" s="98"/>
      <c r="E3416" s="98"/>
      <c r="F3416" s="99"/>
      <c r="G3416" s="100"/>
      <c r="H3416" s="100"/>
    </row>
    <row r="3417" customHeight="1" spans="2:8">
      <c r="B3417" s="98"/>
      <c r="C3417" s="98"/>
      <c r="D3417" s="98"/>
      <c r="E3417" s="98"/>
      <c r="F3417" s="99"/>
      <c r="G3417" s="100"/>
      <c r="H3417" s="100"/>
    </row>
    <row r="3418" customHeight="1" spans="2:8">
      <c r="B3418" s="98"/>
      <c r="C3418" s="98"/>
      <c r="D3418" s="98"/>
      <c r="E3418" s="98"/>
      <c r="F3418" s="99"/>
      <c r="G3418" s="100"/>
      <c r="H3418" s="100"/>
    </row>
    <row r="3419" customHeight="1" spans="2:8">
      <c r="B3419" s="98"/>
      <c r="C3419" s="98"/>
      <c r="D3419" s="98"/>
      <c r="E3419" s="98"/>
      <c r="F3419" s="99"/>
      <c r="G3419" s="100"/>
      <c r="H3419" s="100"/>
    </row>
    <row r="3420" customHeight="1" spans="2:8">
      <c r="B3420" s="98"/>
      <c r="C3420" s="98"/>
      <c r="D3420" s="98"/>
      <c r="E3420" s="98"/>
      <c r="F3420" s="99"/>
      <c r="G3420" s="100"/>
      <c r="H3420" s="100"/>
    </row>
    <row r="3421" customHeight="1" spans="2:8">
      <c r="B3421" s="98"/>
      <c r="C3421" s="98"/>
      <c r="D3421" s="98"/>
      <c r="E3421" s="98"/>
      <c r="F3421" s="99"/>
      <c r="G3421" s="100"/>
      <c r="H3421" s="100"/>
    </row>
    <row r="3422" customHeight="1" spans="2:8">
      <c r="B3422" s="98"/>
      <c r="C3422" s="98"/>
      <c r="D3422" s="98"/>
      <c r="E3422" s="98"/>
      <c r="F3422" s="99"/>
      <c r="G3422" s="100"/>
      <c r="H3422" s="100"/>
    </row>
    <row r="3423" customHeight="1" spans="2:8">
      <c r="B3423" s="98"/>
      <c r="C3423" s="98"/>
      <c r="D3423" s="98"/>
      <c r="E3423" s="98"/>
      <c r="F3423" s="99"/>
      <c r="G3423" s="100"/>
      <c r="H3423" s="100"/>
    </row>
    <row r="3424" customHeight="1" spans="2:8">
      <c r="B3424" s="98"/>
      <c r="C3424" s="98"/>
      <c r="D3424" s="98"/>
      <c r="E3424" s="98"/>
      <c r="F3424" s="99"/>
      <c r="G3424" s="100"/>
      <c r="H3424" s="100"/>
    </row>
    <row r="3425" customHeight="1" spans="2:8">
      <c r="B3425" s="98"/>
      <c r="C3425" s="98"/>
      <c r="D3425" s="98"/>
      <c r="E3425" s="98"/>
      <c r="F3425" s="99"/>
      <c r="G3425" s="100"/>
      <c r="H3425" s="100"/>
    </row>
    <row r="3426" customHeight="1" spans="2:8">
      <c r="B3426" s="98"/>
      <c r="C3426" s="98"/>
      <c r="D3426" s="98"/>
      <c r="E3426" s="98"/>
      <c r="F3426" s="99"/>
      <c r="G3426" s="100"/>
      <c r="H3426" s="100"/>
    </row>
    <row r="3427" customHeight="1" spans="2:8">
      <c r="B3427" s="98"/>
      <c r="C3427" s="98"/>
      <c r="D3427" s="98"/>
      <c r="E3427" s="98"/>
      <c r="F3427" s="99"/>
      <c r="G3427" s="100"/>
      <c r="H3427" s="100"/>
    </row>
    <row r="3428" customHeight="1" spans="2:8">
      <c r="B3428" s="98"/>
      <c r="C3428" s="98"/>
      <c r="D3428" s="98"/>
      <c r="E3428" s="98"/>
      <c r="F3428" s="99"/>
      <c r="G3428" s="100"/>
      <c r="H3428" s="100"/>
    </row>
    <row r="3429" customHeight="1" spans="2:8">
      <c r="B3429" s="98"/>
      <c r="C3429" s="98"/>
      <c r="D3429" s="98"/>
      <c r="E3429" s="98"/>
      <c r="F3429" s="99"/>
      <c r="G3429" s="100"/>
      <c r="H3429" s="100"/>
    </row>
    <row r="3430" customHeight="1" spans="2:8">
      <c r="B3430" s="98"/>
      <c r="C3430" s="98"/>
      <c r="D3430" s="98"/>
      <c r="E3430" s="98"/>
      <c r="F3430" s="99"/>
      <c r="G3430" s="100"/>
      <c r="H3430" s="100"/>
    </row>
    <row r="3431" customHeight="1" spans="2:8">
      <c r="B3431" s="98"/>
      <c r="C3431" s="98"/>
      <c r="D3431" s="98"/>
      <c r="E3431" s="98"/>
      <c r="F3431" s="99"/>
      <c r="G3431" s="100"/>
      <c r="H3431" s="100"/>
    </row>
    <row r="3432" customHeight="1" spans="2:8">
      <c r="B3432" s="98"/>
      <c r="C3432" s="98"/>
      <c r="D3432" s="98"/>
      <c r="E3432" s="98"/>
      <c r="F3432" s="99"/>
      <c r="G3432" s="100"/>
      <c r="H3432" s="100"/>
    </row>
    <row r="3433" customHeight="1" spans="2:8">
      <c r="B3433" s="98"/>
      <c r="C3433" s="98"/>
      <c r="D3433" s="98"/>
      <c r="E3433" s="98"/>
      <c r="F3433" s="99"/>
      <c r="G3433" s="100"/>
      <c r="H3433" s="100"/>
    </row>
    <row r="3434" customHeight="1" spans="2:8">
      <c r="B3434" s="98"/>
      <c r="C3434" s="98"/>
      <c r="D3434" s="98"/>
      <c r="E3434" s="98"/>
      <c r="F3434" s="99"/>
      <c r="G3434" s="100"/>
      <c r="H3434" s="100"/>
    </row>
    <row r="3435" customHeight="1" spans="2:8">
      <c r="B3435" s="98"/>
      <c r="C3435" s="98"/>
      <c r="D3435" s="98"/>
      <c r="E3435" s="98"/>
      <c r="F3435" s="99"/>
      <c r="G3435" s="100"/>
      <c r="H3435" s="100"/>
    </row>
    <row r="3436" customHeight="1" spans="2:8">
      <c r="B3436" s="98"/>
      <c r="C3436" s="98"/>
      <c r="D3436" s="98"/>
      <c r="E3436" s="98"/>
      <c r="F3436" s="99"/>
      <c r="G3436" s="100"/>
      <c r="H3436" s="100"/>
    </row>
    <row r="3437" customHeight="1" spans="2:8">
      <c r="B3437" s="98"/>
      <c r="C3437" s="98"/>
      <c r="D3437" s="98"/>
      <c r="E3437" s="98"/>
      <c r="F3437" s="99"/>
      <c r="G3437" s="100"/>
      <c r="H3437" s="100"/>
    </row>
    <row r="3438" customHeight="1" spans="2:8">
      <c r="B3438" s="98"/>
      <c r="C3438" s="98"/>
      <c r="D3438" s="98"/>
      <c r="E3438" s="98"/>
      <c r="F3438" s="99"/>
      <c r="G3438" s="100"/>
      <c r="H3438" s="100"/>
    </row>
    <row r="3439" customHeight="1" spans="2:8">
      <c r="B3439" s="98"/>
      <c r="C3439" s="98"/>
      <c r="D3439" s="98"/>
      <c r="E3439" s="98"/>
      <c r="F3439" s="99"/>
      <c r="G3439" s="100"/>
      <c r="H3439" s="100"/>
    </row>
    <row r="3440" customHeight="1" spans="2:8">
      <c r="B3440" s="98"/>
      <c r="C3440" s="98"/>
      <c r="D3440" s="98"/>
      <c r="E3440" s="98"/>
      <c r="F3440" s="99"/>
      <c r="G3440" s="100"/>
      <c r="H3440" s="100"/>
    </row>
    <row r="3441" customHeight="1" spans="2:8">
      <c r="B3441" s="98"/>
      <c r="C3441" s="98"/>
      <c r="D3441" s="98"/>
      <c r="E3441" s="98"/>
      <c r="F3441" s="99"/>
      <c r="G3441" s="100"/>
      <c r="H3441" s="100"/>
    </row>
    <row r="3442" customHeight="1" spans="2:8">
      <c r="B3442" s="98"/>
      <c r="C3442" s="98"/>
      <c r="D3442" s="98"/>
      <c r="E3442" s="98"/>
      <c r="F3442" s="99"/>
      <c r="G3442" s="100"/>
      <c r="H3442" s="100"/>
    </row>
    <row r="3443" customHeight="1" spans="2:8">
      <c r="B3443" s="98"/>
      <c r="C3443" s="98"/>
      <c r="D3443" s="98"/>
      <c r="E3443" s="98"/>
      <c r="F3443" s="99"/>
      <c r="G3443" s="100"/>
      <c r="H3443" s="100"/>
    </row>
    <row r="3444" customHeight="1" spans="2:8">
      <c r="B3444" s="98"/>
      <c r="C3444" s="98"/>
      <c r="D3444" s="98"/>
      <c r="E3444" s="98"/>
      <c r="F3444" s="99"/>
      <c r="G3444" s="100"/>
      <c r="H3444" s="100"/>
    </row>
    <row r="3445" customHeight="1" spans="2:8">
      <c r="B3445" s="98"/>
      <c r="C3445" s="98"/>
      <c r="D3445" s="98"/>
      <c r="E3445" s="98"/>
      <c r="F3445" s="99"/>
      <c r="G3445" s="100"/>
      <c r="H3445" s="100"/>
    </row>
    <row r="3446" customHeight="1" spans="2:8">
      <c r="B3446" s="98"/>
      <c r="C3446" s="98"/>
      <c r="D3446" s="98"/>
      <c r="E3446" s="98"/>
      <c r="F3446" s="99"/>
      <c r="G3446" s="100"/>
      <c r="H3446" s="100"/>
    </row>
    <row r="3447" customHeight="1" spans="2:8">
      <c r="B3447" s="98"/>
      <c r="C3447" s="98"/>
      <c r="D3447" s="98"/>
      <c r="E3447" s="98"/>
      <c r="F3447" s="99"/>
      <c r="G3447" s="100"/>
      <c r="H3447" s="100"/>
    </row>
    <row r="3448" customHeight="1" spans="2:8">
      <c r="B3448" s="98"/>
      <c r="C3448" s="98"/>
      <c r="D3448" s="98"/>
      <c r="E3448" s="98"/>
      <c r="F3448" s="99"/>
      <c r="G3448" s="100"/>
      <c r="H3448" s="100"/>
    </row>
    <row r="3449" customHeight="1" spans="2:8">
      <c r="B3449" s="98"/>
      <c r="C3449" s="98"/>
      <c r="D3449" s="98"/>
      <c r="E3449" s="98"/>
      <c r="F3449" s="99"/>
      <c r="G3449" s="100"/>
      <c r="H3449" s="100"/>
    </row>
    <row r="3450" customHeight="1" spans="2:8">
      <c r="B3450" s="98"/>
      <c r="C3450" s="98"/>
      <c r="D3450" s="98"/>
      <c r="E3450" s="98"/>
      <c r="F3450" s="99"/>
      <c r="G3450" s="100"/>
      <c r="H3450" s="100"/>
    </row>
    <row r="3451" customHeight="1" spans="2:8">
      <c r="B3451" s="98"/>
      <c r="C3451" s="98"/>
      <c r="D3451" s="98"/>
      <c r="E3451" s="98"/>
      <c r="F3451" s="99"/>
      <c r="G3451" s="100"/>
      <c r="H3451" s="100"/>
    </row>
    <row r="3452" customHeight="1" spans="2:8">
      <c r="B3452" s="98"/>
      <c r="C3452" s="98"/>
      <c r="D3452" s="98"/>
      <c r="E3452" s="98"/>
      <c r="F3452" s="99"/>
      <c r="G3452" s="100"/>
      <c r="H3452" s="100"/>
    </row>
    <row r="3453" customHeight="1" spans="2:8">
      <c r="B3453" s="98"/>
      <c r="C3453" s="98"/>
      <c r="D3453" s="98"/>
      <c r="E3453" s="98"/>
      <c r="F3453" s="99"/>
      <c r="G3453" s="100"/>
      <c r="H3453" s="100"/>
    </row>
    <row r="3454" customHeight="1" spans="2:8">
      <c r="B3454" s="98"/>
      <c r="C3454" s="98"/>
      <c r="D3454" s="98"/>
      <c r="E3454" s="98"/>
      <c r="F3454" s="99"/>
      <c r="G3454" s="100"/>
      <c r="H3454" s="100"/>
    </row>
    <row r="3455" customHeight="1" spans="2:8">
      <c r="B3455" s="98"/>
      <c r="C3455" s="98"/>
      <c r="D3455" s="98"/>
      <c r="E3455" s="98"/>
      <c r="F3455" s="99"/>
      <c r="G3455" s="100"/>
      <c r="H3455" s="100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C46" sqref="C46:R46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5">
      <c r="A1" s="34"/>
      <c r="B1" s="35" t="s">
        <v>173</v>
      </c>
      <c r="C1" s="36" t="s">
        <v>174</v>
      </c>
      <c r="D1" s="36" t="s">
        <v>176</v>
      </c>
      <c r="E1" s="36" t="s">
        <v>177</v>
      </c>
      <c r="F1" s="36"/>
      <c r="G1" s="36"/>
      <c r="H1" s="36" t="s">
        <v>179</v>
      </c>
      <c r="I1" s="37" t="s">
        <v>1145</v>
      </c>
      <c r="J1" s="36" t="s">
        <v>181</v>
      </c>
      <c r="K1" s="36" t="s">
        <v>182</v>
      </c>
      <c r="L1" s="38" t="s">
        <v>183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39"/>
      <c r="J2" s="36"/>
      <c r="K2" s="36"/>
      <c r="L2" s="38"/>
      <c r="N2" s="33" t="s">
        <v>6499</v>
      </c>
      <c r="O2" s="33" t="s">
        <v>14</v>
      </c>
    </row>
    <row r="3" customHeight="1" spans="1:15">
      <c r="B3" s="40"/>
      <c r="C3" s="41" t="s">
        <v>6500</v>
      </c>
      <c r="D3" s="41"/>
      <c r="E3" s="40" t="s">
        <v>1216</v>
      </c>
      <c r="F3" s="40"/>
      <c r="G3" s="40"/>
      <c r="H3" s="42" t="s">
        <v>1217</v>
      </c>
      <c r="I3" s="41">
        <v>149.84</v>
      </c>
      <c r="J3" s="41">
        <v>149.84</v>
      </c>
      <c r="K3" s="41"/>
      <c r="L3" s="43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40" t="s">
        <v>1229</v>
      </c>
      <c r="C4" s="41">
        <v>20230001464</v>
      </c>
      <c r="D4" s="1047" t="s">
        <v>1221</v>
      </c>
      <c r="E4" s="40" t="s">
        <v>1222</v>
      </c>
      <c r="F4" s="40"/>
      <c r="G4" s="40"/>
      <c r="H4" s="42" t="s">
        <v>1224</v>
      </c>
      <c r="I4" s="41">
        <v>140.29</v>
      </c>
      <c r="J4" s="41">
        <v>140.29</v>
      </c>
      <c r="K4" s="41">
        <v>7863</v>
      </c>
      <c r="L4" s="43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40" t="s">
        <v>1236</v>
      </c>
      <c r="C5" s="41">
        <v>20230004789</v>
      </c>
      <c r="D5" s="1047" t="s">
        <v>1232</v>
      </c>
      <c r="E5" s="41" t="s">
        <v>1191</v>
      </c>
      <c r="F5" s="41"/>
      <c r="G5" s="41"/>
      <c r="H5" s="44" t="s">
        <v>1234</v>
      </c>
      <c r="I5" s="41">
        <v>146.97</v>
      </c>
      <c r="J5" s="41">
        <v>146.97</v>
      </c>
      <c r="K5" s="41">
        <v>5270</v>
      </c>
      <c r="L5" s="43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40" t="s">
        <v>1241</v>
      </c>
      <c r="C6" s="41">
        <v>20230006624</v>
      </c>
      <c r="D6" s="1047" t="s">
        <v>1237</v>
      </c>
      <c r="E6" s="41" t="s">
        <v>1238</v>
      </c>
      <c r="F6" s="41"/>
      <c r="G6" s="41"/>
      <c r="H6" s="42" t="s">
        <v>1240</v>
      </c>
      <c r="I6" s="41">
        <v>137.77</v>
      </c>
      <c r="J6" s="41">
        <v>137.77</v>
      </c>
      <c r="K6" s="41">
        <v>5334.97</v>
      </c>
      <c r="L6" s="43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40" t="s">
        <v>1247</v>
      </c>
      <c r="C7" s="41">
        <v>20230001743</v>
      </c>
      <c r="D7" s="41" t="s">
        <v>1243</v>
      </c>
      <c r="E7" s="41" t="s">
        <v>1244</v>
      </c>
      <c r="F7" s="41"/>
      <c r="G7" s="41"/>
      <c r="H7" s="44" t="s">
        <v>1245</v>
      </c>
      <c r="I7" s="41">
        <v>146.97</v>
      </c>
      <c r="J7" s="41">
        <v>146.97</v>
      </c>
      <c r="K7" s="41">
        <v>5245.55</v>
      </c>
      <c r="L7" s="43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40" t="s">
        <v>1228</v>
      </c>
      <c r="C8" s="41">
        <v>20230001404</v>
      </c>
      <c r="D8" s="1047" t="s">
        <v>1248</v>
      </c>
      <c r="E8" s="40" t="s">
        <v>1249</v>
      </c>
      <c r="F8" s="40"/>
      <c r="G8" s="40"/>
      <c r="H8" s="42" t="s">
        <v>1251</v>
      </c>
      <c r="I8" s="41">
        <v>137.77</v>
      </c>
      <c r="J8" s="41">
        <v>137.77</v>
      </c>
      <c r="K8" s="45">
        <v>5140.96</v>
      </c>
      <c r="L8" s="43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40" t="s">
        <v>1229</v>
      </c>
      <c r="C9" s="41">
        <v>20230001431</v>
      </c>
      <c r="D9" s="1047" t="s">
        <v>1255</v>
      </c>
      <c r="E9" s="41" t="s">
        <v>1203</v>
      </c>
      <c r="F9" s="41"/>
      <c r="G9" s="41"/>
      <c r="H9" s="44" t="s">
        <v>1257</v>
      </c>
      <c r="I9" s="41">
        <v>146.97</v>
      </c>
      <c r="J9" s="41">
        <v>146.97</v>
      </c>
      <c r="K9" s="41">
        <v>5300</v>
      </c>
      <c r="L9" s="43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40" t="s">
        <v>1265</v>
      </c>
      <c r="C10" s="41">
        <v>20230000706</v>
      </c>
      <c r="D10" s="1047" t="s">
        <v>1260</v>
      </c>
      <c r="E10" s="40" t="s">
        <v>1261</v>
      </c>
      <c r="F10" s="40"/>
      <c r="G10" s="40"/>
      <c r="H10" s="42" t="s">
        <v>1262</v>
      </c>
      <c r="I10" s="41">
        <v>137.77</v>
      </c>
      <c r="J10" s="41">
        <v>137.77</v>
      </c>
      <c r="K10" s="41">
        <v>5320</v>
      </c>
      <c r="L10" s="43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40" t="s">
        <v>1228</v>
      </c>
      <c r="C11" s="41">
        <v>20230001400</v>
      </c>
      <c r="D11" s="41" t="s">
        <v>1267</v>
      </c>
      <c r="E11" s="40" t="s">
        <v>6501</v>
      </c>
      <c r="F11" s="40"/>
      <c r="G11" s="40"/>
      <c r="H11" s="44" t="s">
        <v>1270</v>
      </c>
      <c r="I11" s="41">
        <v>146.97</v>
      </c>
      <c r="J11" s="41">
        <v>146.97</v>
      </c>
      <c r="K11" s="41">
        <v>5208.96</v>
      </c>
      <c r="L11" s="43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40" t="s">
        <v>635</v>
      </c>
      <c r="C12" s="41">
        <v>20230003790</v>
      </c>
      <c r="D12" s="1047" t="s">
        <v>1274</v>
      </c>
      <c r="E12" s="40" t="s">
        <v>1275</v>
      </c>
      <c r="F12" s="40"/>
      <c r="G12" s="40"/>
      <c r="H12" s="42" t="s">
        <v>1277</v>
      </c>
      <c r="I12" s="41">
        <v>137.77</v>
      </c>
      <c r="J12" s="41">
        <v>137.77</v>
      </c>
      <c r="K12" s="41">
        <v>5421.94</v>
      </c>
      <c r="L12" s="43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40">
        <v>2023.6</v>
      </c>
      <c r="C13" s="41">
        <v>20230004864</v>
      </c>
      <c r="D13" s="46" t="s">
        <v>1283</v>
      </c>
      <c r="E13" s="41" t="s">
        <v>1284</v>
      </c>
      <c r="F13" s="41"/>
      <c r="G13" s="41"/>
      <c r="H13" s="44" t="s">
        <v>1286</v>
      </c>
      <c r="I13" s="41">
        <v>146.97</v>
      </c>
      <c r="J13" s="41">
        <v>146.97</v>
      </c>
      <c r="K13" s="45">
        <v>5877.22664489352</v>
      </c>
      <c r="L13" s="43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40" t="s">
        <v>1622</v>
      </c>
      <c r="C14" s="41">
        <v>20230000730</v>
      </c>
      <c r="D14" s="1047" t="s">
        <v>1291</v>
      </c>
      <c r="E14" s="40" t="s">
        <v>1292</v>
      </c>
      <c r="F14" s="40"/>
      <c r="G14" s="40"/>
      <c r="H14" s="42" t="s">
        <v>1294</v>
      </c>
      <c r="I14" s="41">
        <v>137.77</v>
      </c>
      <c r="J14" s="41">
        <v>137.77</v>
      </c>
      <c r="K14" s="41">
        <v>5265.96</v>
      </c>
      <c r="L14" s="43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40" t="s">
        <v>1265</v>
      </c>
      <c r="C15" s="41">
        <v>20230000725</v>
      </c>
      <c r="D15" s="1047" t="s">
        <v>1299</v>
      </c>
      <c r="E15" s="40" t="s">
        <v>1300</v>
      </c>
      <c r="F15" s="40"/>
      <c r="G15" s="40"/>
      <c r="H15" s="44" t="s">
        <v>1302</v>
      </c>
      <c r="I15" s="41">
        <v>146.97</v>
      </c>
      <c r="J15" s="41">
        <v>146.97</v>
      </c>
      <c r="K15" s="41">
        <v>5298.97</v>
      </c>
      <c r="L15" s="43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40" t="s">
        <v>2896</v>
      </c>
      <c r="C16" s="41">
        <v>20230000142</v>
      </c>
      <c r="D16" s="1047" t="s">
        <v>1307</v>
      </c>
      <c r="E16" s="40" t="s">
        <v>1308</v>
      </c>
      <c r="F16" s="40"/>
      <c r="G16" s="40"/>
      <c r="H16" s="42" t="s">
        <v>1310</v>
      </c>
      <c r="I16" s="41">
        <v>137.77</v>
      </c>
      <c r="J16" s="41">
        <v>137.77</v>
      </c>
      <c r="K16" s="41">
        <v>5310.96</v>
      </c>
      <c r="L16" s="43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40" t="s">
        <v>1333</v>
      </c>
      <c r="C17" s="41">
        <v>20230000953</v>
      </c>
      <c r="D17" s="1047" t="s">
        <v>1317</v>
      </c>
      <c r="E17" s="41" t="s">
        <v>1318</v>
      </c>
      <c r="F17" s="41"/>
      <c r="G17" s="41"/>
      <c r="H17" s="42" t="s">
        <v>1320</v>
      </c>
      <c r="I17" s="41">
        <v>146.97</v>
      </c>
      <c r="J17" s="41">
        <v>146.97</v>
      </c>
      <c r="K17" s="41">
        <v>5323.96</v>
      </c>
      <c r="L17" s="43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40" t="s">
        <v>1228</v>
      </c>
      <c r="C18" s="41">
        <v>20230001308</v>
      </c>
      <c r="D18" s="41" t="s">
        <v>1326</v>
      </c>
      <c r="E18" s="40" t="s">
        <v>1327</v>
      </c>
      <c r="F18" s="40"/>
      <c r="G18" s="40"/>
      <c r="H18" s="42" t="s">
        <v>1329</v>
      </c>
      <c r="I18" s="41">
        <v>137.77</v>
      </c>
      <c r="J18" s="41">
        <v>137.77</v>
      </c>
      <c r="K18" s="41">
        <v>5335.96</v>
      </c>
      <c r="L18" s="43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40" t="s">
        <v>1341</v>
      </c>
      <c r="C19" s="41">
        <v>20230003229</v>
      </c>
      <c r="D19" s="1047" t="s">
        <v>1334</v>
      </c>
      <c r="E19" s="41" t="s">
        <v>792</v>
      </c>
      <c r="F19" s="41"/>
      <c r="G19" s="41"/>
      <c r="H19" s="44" t="s">
        <v>1336</v>
      </c>
      <c r="I19" s="41">
        <v>146.97</v>
      </c>
      <c r="J19" s="41">
        <v>146.97</v>
      </c>
      <c r="K19" s="41">
        <v>5368.96</v>
      </c>
      <c r="L19" s="43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40" t="s">
        <v>1259</v>
      </c>
      <c r="C20" s="41">
        <v>20230001243</v>
      </c>
      <c r="D20" s="1047" t="s">
        <v>1342</v>
      </c>
      <c r="E20" s="47" t="s">
        <v>1343</v>
      </c>
      <c r="F20" s="47"/>
      <c r="G20" s="47"/>
      <c r="H20" s="42" t="s">
        <v>1345</v>
      </c>
      <c r="I20" s="41">
        <v>137.77</v>
      </c>
      <c r="J20" s="41">
        <v>137.77</v>
      </c>
      <c r="K20" s="41">
        <v>5380.96</v>
      </c>
      <c r="L20" s="43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40" t="s">
        <v>1259</v>
      </c>
      <c r="C21" s="41">
        <v>20230001161</v>
      </c>
      <c r="D21" s="1047" t="s">
        <v>1350</v>
      </c>
      <c r="E21" s="40" t="s">
        <v>1351</v>
      </c>
      <c r="F21" s="40"/>
      <c r="G21" s="40"/>
      <c r="H21" s="44" t="s">
        <v>1353</v>
      </c>
      <c r="I21" s="41">
        <v>146.97</v>
      </c>
      <c r="J21" s="41">
        <v>146.97</v>
      </c>
      <c r="K21" s="41">
        <v>5388.96</v>
      </c>
      <c r="L21" s="43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40" t="s">
        <v>1362</v>
      </c>
      <c r="C22" s="41">
        <v>20230000170</v>
      </c>
      <c r="D22" s="1047" t="s">
        <v>1357</v>
      </c>
      <c r="E22" s="40" t="s">
        <v>921</v>
      </c>
      <c r="F22" s="40"/>
      <c r="G22" s="40"/>
      <c r="H22" s="42" t="s">
        <v>1358</v>
      </c>
      <c r="I22" s="41">
        <v>137.77</v>
      </c>
      <c r="J22" s="41">
        <v>137.77</v>
      </c>
      <c r="K22" s="41">
        <v>5351</v>
      </c>
      <c r="L22" s="48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40" t="s">
        <v>523</v>
      </c>
      <c r="C23" s="41">
        <v>20230005171</v>
      </c>
      <c r="D23" s="1047" t="s">
        <v>1366</v>
      </c>
      <c r="E23" s="40" t="s">
        <v>1367</v>
      </c>
      <c r="F23" s="40"/>
      <c r="G23" s="40"/>
      <c r="H23" s="44" t="s">
        <v>1369</v>
      </c>
      <c r="I23" s="41">
        <v>146.97</v>
      </c>
      <c r="J23" s="41">
        <v>146.97</v>
      </c>
      <c r="K23" s="41">
        <v>6443.5</v>
      </c>
      <c r="L23" s="43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40" t="s">
        <v>1228</v>
      </c>
      <c r="C24" s="41">
        <v>20230001343</v>
      </c>
      <c r="D24" s="1047" t="s">
        <v>1375</v>
      </c>
      <c r="E24" s="40" t="s">
        <v>1181</v>
      </c>
      <c r="F24" s="40"/>
      <c r="G24" s="40"/>
      <c r="H24" s="42" t="s">
        <v>1377</v>
      </c>
      <c r="I24" s="41">
        <v>137.77</v>
      </c>
      <c r="J24" s="41">
        <v>137.77</v>
      </c>
      <c r="K24" s="41">
        <v>6520</v>
      </c>
      <c r="L24" s="43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40" t="s">
        <v>471</v>
      </c>
      <c r="C25" s="41">
        <v>20230008632</v>
      </c>
      <c r="D25" s="1047" t="s">
        <v>1383</v>
      </c>
      <c r="E25" s="40" t="s">
        <v>1384</v>
      </c>
      <c r="F25" s="40"/>
      <c r="G25" s="40"/>
      <c r="H25" s="44" t="s">
        <v>1386</v>
      </c>
      <c r="I25" s="41">
        <v>140.29</v>
      </c>
      <c r="J25" s="41">
        <v>140.29</v>
      </c>
      <c r="K25" s="41">
        <v>7860</v>
      </c>
      <c r="L25" s="43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40" t="s">
        <v>1324</v>
      </c>
      <c r="C26" s="41">
        <v>20230000901</v>
      </c>
      <c r="D26" s="1047" t="s">
        <v>1391</v>
      </c>
      <c r="E26" s="41" t="s">
        <v>1392</v>
      </c>
      <c r="F26" s="41"/>
      <c r="G26" s="41"/>
      <c r="H26" s="42" t="s">
        <v>1394</v>
      </c>
      <c r="I26" s="41">
        <v>140.89</v>
      </c>
      <c r="J26" s="41">
        <v>140.89</v>
      </c>
      <c r="K26" s="41">
        <v>7835</v>
      </c>
      <c r="L26" s="43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40" t="s">
        <v>826</v>
      </c>
      <c r="C27" s="41">
        <v>20230006450</v>
      </c>
      <c r="D27" s="1047" t="s">
        <v>1399</v>
      </c>
      <c r="E27" s="41" t="s">
        <v>1400</v>
      </c>
      <c r="F27" s="41"/>
      <c r="G27" s="41"/>
      <c r="H27" s="44" t="s">
        <v>1402</v>
      </c>
      <c r="I27" s="41">
        <v>137.77</v>
      </c>
      <c r="J27" s="41">
        <v>137.77</v>
      </c>
      <c r="K27" s="41">
        <v>5618</v>
      </c>
      <c r="L27" s="43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40" t="s">
        <v>1019</v>
      </c>
      <c r="C28" s="41">
        <v>20230005822</v>
      </c>
      <c r="D28" s="1047" t="s">
        <v>1405</v>
      </c>
      <c r="E28" s="41" t="s">
        <v>1406</v>
      </c>
      <c r="F28" s="41"/>
      <c r="G28" s="41"/>
      <c r="H28" s="42" t="s">
        <v>1407</v>
      </c>
      <c r="I28" s="41">
        <v>138.26</v>
      </c>
      <c r="J28" s="41">
        <v>138.26</v>
      </c>
      <c r="K28" s="41">
        <v>5240</v>
      </c>
      <c r="L28" s="43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40" t="s">
        <v>1363</v>
      </c>
      <c r="C29" s="41">
        <v>20230001075</v>
      </c>
      <c r="D29" s="1047" t="s">
        <v>1413</v>
      </c>
      <c r="E29" s="41" t="s">
        <v>1414</v>
      </c>
      <c r="F29" s="41"/>
      <c r="G29" s="41"/>
      <c r="H29" s="44" t="s">
        <v>1416</v>
      </c>
      <c r="I29" s="41">
        <v>137.77</v>
      </c>
      <c r="J29" s="41">
        <v>137.77</v>
      </c>
      <c r="K29" s="41">
        <v>5258</v>
      </c>
      <c r="L29" s="43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40" t="s">
        <v>647</v>
      </c>
      <c r="C30" s="41">
        <v>20230001692</v>
      </c>
      <c r="D30" s="41" t="s">
        <v>1422</v>
      </c>
      <c r="E30" s="40" t="s">
        <v>1423</v>
      </c>
      <c r="F30" s="40"/>
      <c r="G30" s="40"/>
      <c r="H30" s="44" t="s">
        <v>1425</v>
      </c>
      <c r="I30" s="41">
        <v>138.26</v>
      </c>
      <c r="J30" s="41">
        <v>138.26</v>
      </c>
      <c r="K30" s="41">
        <v>5114.96</v>
      </c>
      <c r="L30" s="43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41" t="s">
        <v>1229</v>
      </c>
      <c r="C31" s="41">
        <v>20230001440</v>
      </c>
      <c r="D31" s="46" t="s">
        <v>1430</v>
      </c>
      <c r="E31" s="49" t="s">
        <v>1206</v>
      </c>
      <c r="F31" s="49"/>
      <c r="G31" s="49"/>
      <c r="H31" s="44" t="s">
        <v>1431</v>
      </c>
      <c r="I31" s="41">
        <v>137.77</v>
      </c>
      <c r="J31" s="41">
        <v>137.77</v>
      </c>
      <c r="K31" s="41">
        <v>137.77</v>
      </c>
      <c r="L31" s="43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41" t="s">
        <v>1229</v>
      </c>
      <c r="C32" s="50" t="s">
        <v>6502</v>
      </c>
      <c r="D32" s="46" t="s">
        <v>1434</v>
      </c>
      <c r="E32" s="49" t="s">
        <v>1435</v>
      </c>
      <c r="F32" s="49"/>
      <c r="G32" s="49"/>
      <c r="H32" s="42" t="s">
        <v>1436</v>
      </c>
      <c r="I32" s="41">
        <v>138.26</v>
      </c>
      <c r="J32" s="41">
        <v>138.26</v>
      </c>
      <c r="K32" s="41">
        <v>5268.63</v>
      </c>
      <c r="L32" s="43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41" t="s">
        <v>1259</v>
      </c>
      <c r="C33" s="50" t="s">
        <v>6503</v>
      </c>
      <c r="D33" s="1047" t="s">
        <v>1442</v>
      </c>
      <c r="E33" s="40" t="s">
        <v>1443</v>
      </c>
      <c r="F33" s="40"/>
      <c r="G33" s="40"/>
      <c r="H33" s="42" t="s">
        <v>1444</v>
      </c>
      <c r="I33" s="41">
        <v>137.77</v>
      </c>
      <c r="J33" s="41">
        <v>137.77</v>
      </c>
      <c r="K33" s="41">
        <v>5220</v>
      </c>
      <c r="L33" s="43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41" t="s">
        <v>1324</v>
      </c>
      <c r="C34" s="50" t="s">
        <v>6504</v>
      </c>
      <c r="D34" s="46" t="s">
        <v>1449</v>
      </c>
      <c r="E34" s="40" t="s">
        <v>1450</v>
      </c>
      <c r="F34" s="40"/>
      <c r="G34" s="40"/>
      <c r="H34" s="44" t="s">
        <v>1452</v>
      </c>
      <c r="I34" s="41">
        <v>138.26</v>
      </c>
      <c r="J34" s="41">
        <v>138.26</v>
      </c>
      <c r="K34" s="41">
        <v>5194.96</v>
      </c>
      <c r="L34" s="43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50" t="s">
        <v>331</v>
      </c>
      <c r="C35" s="50" t="s">
        <v>6505</v>
      </c>
      <c r="D35" s="1047" t="s">
        <v>1458</v>
      </c>
      <c r="E35" s="49" t="s">
        <v>1459</v>
      </c>
      <c r="F35" s="49"/>
      <c r="G35" s="49"/>
      <c r="H35" s="42" t="s">
        <v>1461</v>
      </c>
      <c r="I35" s="41">
        <v>137.77</v>
      </c>
      <c r="J35" s="41">
        <v>137.77</v>
      </c>
      <c r="K35" s="41">
        <v>5259.96</v>
      </c>
      <c r="L35" s="43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41" t="s">
        <v>1455</v>
      </c>
      <c r="C36" s="41">
        <v>20230002636</v>
      </c>
      <c r="D36" s="46" t="s">
        <v>1465</v>
      </c>
      <c r="E36" s="49" t="s">
        <v>1189</v>
      </c>
      <c r="F36" s="49"/>
      <c r="G36" s="49"/>
      <c r="H36" s="44" t="s">
        <v>1467</v>
      </c>
      <c r="I36" s="41">
        <v>138.26</v>
      </c>
      <c r="J36" s="41">
        <v>138.26</v>
      </c>
      <c r="K36" s="41">
        <v>5238.96</v>
      </c>
      <c r="L36" s="43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41" t="s">
        <v>1229</v>
      </c>
      <c r="C37" s="41">
        <v>20230001427</v>
      </c>
      <c r="D37" s="46" t="s">
        <v>1475</v>
      </c>
      <c r="E37" s="49" t="s">
        <v>1476</v>
      </c>
      <c r="F37" s="49"/>
      <c r="G37" s="49"/>
      <c r="H37" s="42" t="s">
        <v>1478</v>
      </c>
      <c r="I37" s="41">
        <v>137.77</v>
      </c>
      <c r="J37" s="41">
        <v>137.77</v>
      </c>
      <c r="K37" s="41">
        <v>5304.96</v>
      </c>
      <c r="L37" s="43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41" t="s">
        <v>1363</v>
      </c>
      <c r="C38" s="51" t="s">
        <v>6506</v>
      </c>
      <c r="D38" s="46" t="s">
        <v>1483</v>
      </c>
      <c r="E38" s="49" t="s">
        <v>1484</v>
      </c>
      <c r="F38" s="49"/>
      <c r="G38" s="49"/>
      <c r="H38" s="44" t="s">
        <v>1486</v>
      </c>
      <c r="I38" s="41">
        <v>138.26</v>
      </c>
      <c r="J38" s="41">
        <v>138.26</v>
      </c>
      <c r="K38" s="41">
        <v>5284.96</v>
      </c>
      <c r="L38" s="48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41" t="s">
        <v>1228</v>
      </c>
      <c r="C39" s="51" t="s">
        <v>6507</v>
      </c>
      <c r="D39" s="46" t="s">
        <v>1493</v>
      </c>
      <c r="E39" s="49" t="s">
        <v>1494</v>
      </c>
      <c r="F39" s="49"/>
      <c r="G39" s="49"/>
      <c r="H39" s="42" t="s">
        <v>1496</v>
      </c>
      <c r="I39" s="41">
        <v>137.77</v>
      </c>
      <c r="J39" s="41">
        <v>137.77</v>
      </c>
      <c r="K39" s="41">
        <v>5329.96</v>
      </c>
      <c r="L39" s="48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41" t="s">
        <v>1510</v>
      </c>
      <c r="C40" s="51" t="s">
        <v>6508</v>
      </c>
      <c r="D40" s="46" t="s">
        <v>1502</v>
      </c>
      <c r="E40" s="49" t="s">
        <v>1503</v>
      </c>
      <c r="F40" s="49"/>
      <c r="G40" s="49"/>
      <c r="H40" s="44" t="s">
        <v>1505</v>
      </c>
      <c r="I40" s="41">
        <v>138.26</v>
      </c>
      <c r="J40" s="41">
        <v>138.26</v>
      </c>
      <c r="K40" s="41">
        <v>5309.96</v>
      </c>
      <c r="L40" s="48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41" t="s">
        <v>1265</v>
      </c>
      <c r="C41" s="41">
        <v>20230000663</v>
      </c>
      <c r="D41" s="46" t="s">
        <v>1512</v>
      </c>
      <c r="E41" s="49" t="s">
        <v>1513</v>
      </c>
      <c r="F41" s="49"/>
      <c r="G41" s="49"/>
      <c r="H41" s="42" t="s">
        <v>1515</v>
      </c>
      <c r="I41" s="41">
        <v>137.77</v>
      </c>
      <c r="J41" s="41">
        <v>137.77</v>
      </c>
      <c r="K41" s="41">
        <v>5374.96</v>
      </c>
      <c r="L41" s="48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41" t="s">
        <v>1363</v>
      </c>
      <c r="C42" s="51" t="s">
        <v>6509</v>
      </c>
      <c r="D42" s="46" t="s">
        <v>1520</v>
      </c>
      <c r="E42" s="49" t="s">
        <v>1521</v>
      </c>
      <c r="F42" s="49"/>
      <c r="G42" s="49"/>
      <c r="H42" s="44" t="s">
        <v>1523</v>
      </c>
      <c r="I42" s="41">
        <v>138.26</v>
      </c>
      <c r="J42" s="41">
        <v>138.26</v>
      </c>
      <c r="K42" s="41">
        <v>5354.96</v>
      </c>
      <c r="L42" s="48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41" t="s">
        <v>1363</v>
      </c>
      <c r="C43" s="51" t="s">
        <v>6510</v>
      </c>
      <c r="D43" s="46" t="s">
        <v>1529</v>
      </c>
      <c r="E43" s="52" t="s">
        <v>6511</v>
      </c>
      <c r="F43" s="52"/>
      <c r="G43" s="52"/>
      <c r="H43" s="42" t="s">
        <v>1531</v>
      </c>
      <c r="I43" s="41">
        <v>137.77</v>
      </c>
      <c r="J43" s="41">
        <v>137.77</v>
      </c>
      <c r="K43" s="41">
        <v>5538.22</v>
      </c>
      <c r="L43" s="48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41" t="s">
        <v>1229</v>
      </c>
      <c r="C44" s="51" t="s">
        <v>6512</v>
      </c>
      <c r="D44" s="53" t="s">
        <v>1534</v>
      </c>
      <c r="E44" s="52" t="s">
        <v>1535</v>
      </c>
      <c r="F44" s="52"/>
      <c r="G44" s="52"/>
      <c r="H44" s="44" t="s">
        <v>1536</v>
      </c>
      <c r="I44" s="41">
        <v>138.26</v>
      </c>
      <c r="J44" s="41">
        <v>138.26</v>
      </c>
      <c r="K44" s="41">
        <v>5520.02</v>
      </c>
      <c r="L44" s="48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41" t="s">
        <v>1551</v>
      </c>
      <c r="C45" s="51" t="s">
        <v>6513</v>
      </c>
      <c r="D45" s="46" t="s">
        <v>1541</v>
      </c>
      <c r="E45" s="52" t="s">
        <v>1542</v>
      </c>
      <c r="F45" s="52"/>
      <c r="G45" s="52"/>
      <c r="H45" s="42" t="s">
        <v>1544</v>
      </c>
      <c r="I45" s="41">
        <v>137.77</v>
      </c>
      <c r="J45" s="41">
        <v>137.77</v>
      </c>
      <c r="K45" s="41">
        <v>6482</v>
      </c>
      <c r="L45" s="48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41" t="s">
        <v>1000</v>
      </c>
      <c r="C46" s="51" t="s">
        <v>6514</v>
      </c>
      <c r="D46" s="46" t="s">
        <v>1554</v>
      </c>
      <c r="E46" s="52" t="s">
        <v>1555</v>
      </c>
      <c r="F46" s="52"/>
      <c r="G46" s="52"/>
      <c r="H46" s="42" t="s">
        <v>1557</v>
      </c>
      <c r="I46" s="41">
        <v>138.26</v>
      </c>
      <c r="J46" s="41">
        <v>138.26</v>
      </c>
      <c r="K46" s="41">
        <v>6609</v>
      </c>
      <c r="L46" s="43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41" t="s">
        <v>1597</v>
      </c>
      <c r="C47" s="51" t="s">
        <v>6515</v>
      </c>
      <c r="D47" s="46" t="s">
        <v>1589</v>
      </c>
      <c r="E47" s="46" t="s">
        <v>1590</v>
      </c>
      <c r="F47" s="46"/>
      <c r="G47" s="46"/>
      <c r="H47" s="42" t="s">
        <v>1592</v>
      </c>
      <c r="I47" s="41">
        <v>117.5</v>
      </c>
      <c r="J47" s="41">
        <v>117.5</v>
      </c>
      <c r="K47" s="41">
        <v>8050</v>
      </c>
      <c r="L47" s="48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54">
        <v>45520</v>
      </c>
      <c r="C48" s="46" t="s">
        <v>6516</v>
      </c>
      <c r="D48" s="46" t="s">
        <v>1606</v>
      </c>
      <c r="E48" s="52" t="s">
        <v>1607</v>
      </c>
      <c r="F48" s="52"/>
      <c r="G48" s="52"/>
      <c r="H48" s="42" t="s">
        <v>1608</v>
      </c>
      <c r="I48" s="41">
        <v>115.94</v>
      </c>
      <c r="J48" s="41">
        <v>115.94</v>
      </c>
      <c r="K48" s="41">
        <v>6190.71071243747</v>
      </c>
      <c r="L48" s="48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41" t="s">
        <v>2390</v>
      </c>
      <c r="C49" s="51" t="s">
        <v>6517</v>
      </c>
      <c r="D49" s="46" t="s">
        <v>1610</v>
      </c>
      <c r="E49" s="52" t="s">
        <v>1611</v>
      </c>
      <c r="F49" s="52"/>
      <c r="G49" s="52"/>
      <c r="H49" s="44" t="s">
        <v>1612</v>
      </c>
      <c r="I49" s="41">
        <v>115.58</v>
      </c>
      <c r="J49" s="41">
        <v>115.58</v>
      </c>
      <c r="K49" s="41">
        <v>5600</v>
      </c>
      <c r="L49" s="48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41">
        <v>2023.5</v>
      </c>
      <c r="C50" s="51" t="s">
        <v>6518</v>
      </c>
      <c r="D50" s="46" t="s">
        <v>1616</v>
      </c>
      <c r="E50" s="49" t="s">
        <v>1617</v>
      </c>
      <c r="F50" s="49"/>
      <c r="G50" s="49"/>
      <c r="H50" s="42" t="s">
        <v>1619</v>
      </c>
      <c r="I50" s="41">
        <v>115.94</v>
      </c>
      <c r="J50" s="41">
        <v>115.94</v>
      </c>
      <c r="K50" s="41">
        <v>5373.61</v>
      </c>
      <c r="L50" s="48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41" t="s">
        <v>1634</v>
      </c>
      <c r="C51" s="51" t="s">
        <v>6519</v>
      </c>
      <c r="D51" s="1047" t="s">
        <v>1627</v>
      </c>
      <c r="E51" s="49" t="s">
        <v>1628</v>
      </c>
      <c r="F51" s="49"/>
      <c r="G51" s="49"/>
      <c r="H51" s="44" t="s">
        <v>1630</v>
      </c>
      <c r="I51" s="41">
        <v>115.58</v>
      </c>
      <c r="J51" s="41">
        <v>115.58</v>
      </c>
      <c r="K51" s="41">
        <v>5382.96</v>
      </c>
      <c r="L51" s="48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41" t="s">
        <v>1228</v>
      </c>
      <c r="C52" s="51" t="s">
        <v>6520</v>
      </c>
      <c r="D52" s="46" t="s">
        <v>1636</v>
      </c>
      <c r="E52" s="52" t="s">
        <v>1637</v>
      </c>
      <c r="F52" s="52"/>
      <c r="G52" s="52"/>
      <c r="H52" s="42" t="s">
        <v>1639</v>
      </c>
      <c r="I52" s="41">
        <v>115.94</v>
      </c>
      <c r="J52" s="41">
        <v>115.94</v>
      </c>
      <c r="K52" s="41">
        <v>5167.38</v>
      </c>
      <c r="L52" s="48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41" t="s">
        <v>1259</v>
      </c>
      <c r="C53" s="50" t="s">
        <v>6521</v>
      </c>
      <c r="D53" s="46" t="s">
        <v>1646</v>
      </c>
      <c r="E53" s="52" t="s">
        <v>1647</v>
      </c>
      <c r="F53" s="52"/>
      <c r="G53" s="52"/>
      <c r="H53" s="44" t="s">
        <v>1649</v>
      </c>
      <c r="I53" s="41">
        <v>115.58</v>
      </c>
      <c r="J53" s="41">
        <v>115.58</v>
      </c>
      <c r="K53" s="41">
        <v>5176.38</v>
      </c>
      <c r="L53" s="43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41" t="s">
        <v>1324</v>
      </c>
      <c r="C54" s="51" t="s">
        <v>6522</v>
      </c>
      <c r="D54" s="46" t="s">
        <v>1655</v>
      </c>
      <c r="E54" s="49" t="s">
        <v>1656</v>
      </c>
      <c r="F54" s="49"/>
      <c r="G54" s="49"/>
      <c r="H54" s="42" t="s">
        <v>1657</v>
      </c>
      <c r="I54" s="41">
        <v>115.94</v>
      </c>
      <c r="J54" s="41">
        <v>115.94</v>
      </c>
      <c r="K54" s="41">
        <v>5338.51</v>
      </c>
      <c r="L54" s="48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41" t="s">
        <v>1363</v>
      </c>
      <c r="C55" s="51" t="s">
        <v>6523</v>
      </c>
      <c r="D55" s="46" t="s">
        <v>1660</v>
      </c>
      <c r="E55" s="49" t="s">
        <v>1661</v>
      </c>
      <c r="F55" s="49"/>
      <c r="G55" s="49"/>
      <c r="H55" s="44" t="s">
        <v>1662</v>
      </c>
      <c r="I55" s="41">
        <v>115.58</v>
      </c>
      <c r="J55" s="41">
        <v>115.58</v>
      </c>
      <c r="K55" s="41">
        <v>5226.39</v>
      </c>
      <c r="L55" s="48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41" t="s">
        <v>1673</v>
      </c>
      <c r="C56" s="51" t="s">
        <v>6524</v>
      </c>
      <c r="D56" s="46" t="s">
        <v>1668</v>
      </c>
      <c r="E56" s="49" t="s">
        <v>1669</v>
      </c>
      <c r="F56" s="49"/>
      <c r="G56" s="49"/>
      <c r="H56" s="42" t="s">
        <v>1670</v>
      </c>
      <c r="I56" s="41">
        <v>115.94</v>
      </c>
      <c r="J56" s="41">
        <v>115.94</v>
      </c>
      <c r="K56" s="41">
        <v>5424.75</v>
      </c>
      <c r="L56" s="48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41" t="s">
        <v>1363</v>
      </c>
      <c r="C57" s="51" t="s">
        <v>6525</v>
      </c>
      <c r="D57" s="46" t="s">
        <v>1675</v>
      </c>
      <c r="E57" s="49" t="s">
        <v>1676</v>
      </c>
      <c r="F57" s="49"/>
      <c r="G57" s="49"/>
      <c r="H57" s="44" t="s">
        <v>1678</v>
      </c>
      <c r="I57" s="41">
        <v>115.58</v>
      </c>
      <c r="J57" s="41">
        <v>115.58</v>
      </c>
      <c r="K57" s="41">
        <v>5271.38</v>
      </c>
      <c r="L57" s="48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41" t="s">
        <v>1690</v>
      </c>
      <c r="C58" s="51" t="s">
        <v>6526</v>
      </c>
      <c r="D58" s="46" t="s">
        <v>1683</v>
      </c>
      <c r="E58" s="40" t="s">
        <v>1684</v>
      </c>
      <c r="F58" s="40"/>
      <c r="G58" s="40"/>
      <c r="H58" s="42" t="s">
        <v>1686</v>
      </c>
      <c r="I58" s="41">
        <v>115.94</v>
      </c>
      <c r="J58" s="41">
        <v>115.94</v>
      </c>
      <c r="K58" s="41">
        <v>5285.38</v>
      </c>
      <c r="L58" s="48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41" t="s">
        <v>1673</v>
      </c>
      <c r="C59" s="51" t="s">
        <v>6527</v>
      </c>
      <c r="D59" s="46" t="s">
        <v>1693</v>
      </c>
      <c r="E59" s="40" t="s">
        <v>1694</v>
      </c>
      <c r="F59" s="40"/>
      <c r="G59" s="40"/>
      <c r="H59" s="42" t="s">
        <v>1696</v>
      </c>
      <c r="I59" s="41">
        <v>115.58</v>
      </c>
      <c r="J59" s="41">
        <v>115.58</v>
      </c>
      <c r="K59" s="41">
        <v>5316.38</v>
      </c>
      <c r="L59" s="48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41" t="s">
        <v>1228</v>
      </c>
      <c r="C60" s="51" t="s">
        <v>6528</v>
      </c>
      <c r="D60" s="46" t="s">
        <v>1701</v>
      </c>
      <c r="E60" s="40" t="s">
        <v>1702</v>
      </c>
      <c r="F60" s="40"/>
      <c r="G60" s="40"/>
      <c r="H60" s="42" t="s">
        <v>1703</v>
      </c>
      <c r="I60" s="41">
        <v>115.94</v>
      </c>
      <c r="J60" s="41">
        <v>115.94</v>
      </c>
      <c r="K60" s="41">
        <v>5412.4</v>
      </c>
      <c r="L60" s="48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41" t="s">
        <v>1298</v>
      </c>
      <c r="C61" s="51" t="s">
        <v>6529</v>
      </c>
      <c r="D61" s="46" t="s">
        <v>1706</v>
      </c>
      <c r="E61" s="40" t="s">
        <v>1707</v>
      </c>
      <c r="F61" s="40"/>
      <c r="G61" s="40"/>
      <c r="H61" s="42" t="s">
        <v>1709</v>
      </c>
      <c r="I61" s="41">
        <v>115.58</v>
      </c>
      <c r="J61" s="41">
        <v>115.58</v>
      </c>
      <c r="K61" s="41">
        <v>5341.38</v>
      </c>
      <c r="L61" s="48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41" t="s">
        <v>1259</v>
      </c>
      <c r="C62" s="51" t="s">
        <v>6530</v>
      </c>
      <c r="D62" s="46" t="s">
        <v>1714</v>
      </c>
      <c r="E62" s="41" t="s">
        <v>1715</v>
      </c>
      <c r="F62" s="41"/>
      <c r="G62" s="41"/>
      <c r="H62" s="44" t="s">
        <v>1717</v>
      </c>
      <c r="I62" s="41">
        <v>115.94</v>
      </c>
      <c r="J62" s="41">
        <v>115.94</v>
      </c>
      <c r="K62" s="41">
        <v>5377.38</v>
      </c>
      <c r="L62" s="48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41" t="s">
        <v>1259</v>
      </c>
      <c r="C63" s="51" t="s">
        <v>6531</v>
      </c>
      <c r="D63" s="46" t="s">
        <v>1723</v>
      </c>
      <c r="E63" s="40" t="s">
        <v>1566</v>
      </c>
      <c r="F63" s="40"/>
      <c r="G63" s="40"/>
      <c r="H63" s="42" t="s">
        <v>1724</v>
      </c>
      <c r="I63" s="41">
        <v>115.58</v>
      </c>
      <c r="J63" s="41">
        <v>115.58</v>
      </c>
      <c r="K63" s="41">
        <v>5534.04</v>
      </c>
      <c r="L63" s="48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41" t="s">
        <v>1229</v>
      </c>
      <c r="C64" s="51" t="s">
        <v>6532</v>
      </c>
      <c r="D64" s="46" t="s">
        <v>1727</v>
      </c>
      <c r="E64" s="41" t="s">
        <v>1728</v>
      </c>
      <c r="F64" s="41"/>
      <c r="G64" s="41"/>
      <c r="H64" s="44" t="s">
        <v>1729</v>
      </c>
      <c r="I64" s="41">
        <v>115.94</v>
      </c>
      <c r="J64" s="41">
        <v>115.94</v>
      </c>
      <c r="K64" s="41">
        <v>5528.81</v>
      </c>
      <c r="L64" s="48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41" t="s">
        <v>1298</v>
      </c>
      <c r="C65" s="51" t="s">
        <v>6533</v>
      </c>
      <c r="D65" s="46" t="s">
        <v>6534</v>
      </c>
      <c r="E65" s="41" t="s">
        <v>1732</v>
      </c>
      <c r="F65" s="41"/>
      <c r="G65" s="41"/>
      <c r="H65" s="42" t="s">
        <v>1734</v>
      </c>
      <c r="I65" s="41">
        <v>115.58</v>
      </c>
      <c r="J65" s="41">
        <v>115.58</v>
      </c>
      <c r="K65" s="41">
        <v>5406.38</v>
      </c>
      <c r="L65" s="48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41" t="s">
        <v>1324</v>
      </c>
      <c r="C66" s="51" t="s">
        <v>6535</v>
      </c>
      <c r="D66" s="46" t="s">
        <v>1740</v>
      </c>
      <c r="E66" s="49" t="s">
        <v>1741</v>
      </c>
      <c r="F66" s="49"/>
      <c r="G66" s="49"/>
      <c r="H66" s="44" t="s">
        <v>1743</v>
      </c>
      <c r="I66" s="41">
        <v>115.94</v>
      </c>
      <c r="J66" s="41">
        <v>115.94</v>
      </c>
      <c r="K66" s="41">
        <v>6560.42</v>
      </c>
      <c r="L66" s="48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41" t="s">
        <v>471</v>
      </c>
      <c r="C67" s="51" t="s">
        <v>6536</v>
      </c>
      <c r="D67" s="46" t="s">
        <v>1748</v>
      </c>
      <c r="E67" s="40" t="s">
        <v>1749</v>
      </c>
      <c r="F67" s="40"/>
      <c r="G67" s="40"/>
      <c r="H67" s="42" t="s">
        <v>1751</v>
      </c>
      <c r="I67" s="41">
        <v>115.58</v>
      </c>
      <c r="J67" s="41">
        <v>115.58</v>
      </c>
      <c r="K67" s="41">
        <v>6630</v>
      </c>
      <c r="L67" s="48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41" t="s">
        <v>1761</v>
      </c>
      <c r="C68" s="51" t="s">
        <v>6537</v>
      </c>
      <c r="D68" s="46" t="s">
        <v>676</v>
      </c>
      <c r="E68" s="40" t="s">
        <v>1756</v>
      </c>
      <c r="F68" s="40"/>
      <c r="G68" s="40"/>
      <c r="H68" s="44" t="s">
        <v>1758</v>
      </c>
      <c r="I68" s="41">
        <v>117.14</v>
      </c>
      <c r="J68" s="41">
        <v>117.14</v>
      </c>
      <c r="K68" s="41">
        <v>8050</v>
      </c>
      <c r="L68" s="48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41" t="s">
        <v>1229</v>
      </c>
      <c r="C69" s="51" t="s">
        <v>6538</v>
      </c>
      <c r="D69" s="46" t="s">
        <v>1763</v>
      </c>
      <c r="E69" s="41" t="s">
        <v>1764</v>
      </c>
      <c r="F69" s="41"/>
      <c r="G69" s="41"/>
      <c r="H69" s="42" t="s">
        <v>1766</v>
      </c>
      <c r="I69" s="41">
        <v>116.67</v>
      </c>
      <c r="J69" s="41">
        <v>116.67</v>
      </c>
      <c r="K69" s="41">
        <v>8057</v>
      </c>
      <c r="L69" s="48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41" t="s">
        <v>3147</v>
      </c>
      <c r="C70" s="51" t="s">
        <v>6539</v>
      </c>
      <c r="D70" s="46" t="s">
        <v>1771</v>
      </c>
      <c r="E70" s="41" t="s">
        <v>1772</v>
      </c>
      <c r="F70" s="41"/>
      <c r="G70" s="41"/>
      <c r="H70" s="44" t="s">
        <v>1773</v>
      </c>
      <c r="I70" s="41">
        <v>115.58</v>
      </c>
      <c r="J70" s="41">
        <v>115.58</v>
      </c>
      <c r="K70" s="41">
        <v>5680</v>
      </c>
      <c r="L70" s="48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41">
        <v>2023.6</v>
      </c>
      <c r="C71" s="51" t="s">
        <v>6540</v>
      </c>
      <c r="D71" s="46" t="s">
        <v>1777</v>
      </c>
      <c r="E71" s="41" t="s">
        <v>1778</v>
      </c>
      <c r="F71" s="41"/>
      <c r="G71" s="41"/>
      <c r="H71" s="42" t="s">
        <v>1780</v>
      </c>
      <c r="I71" s="41">
        <v>115.58</v>
      </c>
      <c r="J71" s="41">
        <v>115.58</v>
      </c>
      <c r="K71" s="41">
        <v>5623.32</v>
      </c>
      <c r="L71" s="48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41" t="s">
        <v>2226</v>
      </c>
      <c r="C72" s="51" t="s">
        <v>6541</v>
      </c>
      <c r="D72" s="46" t="s">
        <v>1784</v>
      </c>
      <c r="E72" s="40" t="s">
        <v>1572</v>
      </c>
      <c r="F72" s="40"/>
      <c r="G72" s="40"/>
      <c r="H72" s="44" t="s">
        <v>1785</v>
      </c>
      <c r="I72" s="41">
        <v>115.58</v>
      </c>
      <c r="J72" s="41">
        <v>115.58</v>
      </c>
      <c r="K72" s="41">
        <v>5363.79</v>
      </c>
      <c r="L72" s="48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41" t="s">
        <v>1298</v>
      </c>
      <c r="C73" s="51" t="s">
        <v>6542</v>
      </c>
      <c r="D73" s="46" t="s">
        <v>1789</v>
      </c>
      <c r="E73" s="40" t="s">
        <v>1790</v>
      </c>
      <c r="F73" s="40"/>
      <c r="G73" s="40"/>
      <c r="H73" s="42" t="s">
        <v>1791</v>
      </c>
      <c r="I73" s="41">
        <v>115.58</v>
      </c>
      <c r="J73" s="41">
        <v>115.58</v>
      </c>
      <c r="K73" s="41">
        <v>5284.66</v>
      </c>
      <c r="L73" s="48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41" t="s">
        <v>1265</v>
      </c>
      <c r="C74" s="51" t="s">
        <v>6543</v>
      </c>
      <c r="D74" s="46" t="s">
        <v>1795</v>
      </c>
      <c r="E74" s="40" t="s">
        <v>1796</v>
      </c>
      <c r="F74" s="40"/>
      <c r="G74" s="40"/>
      <c r="H74" s="42" t="s">
        <v>1798</v>
      </c>
      <c r="I74" s="41">
        <v>115.58</v>
      </c>
      <c r="J74" s="41">
        <v>115.58</v>
      </c>
      <c r="K74" s="41">
        <v>5182.38</v>
      </c>
      <c r="L74" s="48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41" t="s">
        <v>2092</v>
      </c>
      <c r="C75" s="51" t="s">
        <v>6544</v>
      </c>
      <c r="D75" s="46" t="s">
        <v>1804</v>
      </c>
      <c r="E75" s="40" t="s">
        <v>1576</v>
      </c>
      <c r="F75" s="40"/>
      <c r="G75" s="40"/>
      <c r="H75" s="42" t="s">
        <v>1806</v>
      </c>
      <c r="I75" s="41">
        <v>115.58</v>
      </c>
      <c r="J75" s="41">
        <v>115.58</v>
      </c>
      <c r="K75" s="41">
        <v>5380</v>
      </c>
      <c r="L75" s="48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41" t="s">
        <v>1259</v>
      </c>
      <c r="C76" s="51" t="s">
        <v>6545</v>
      </c>
      <c r="D76" s="46" t="s">
        <v>1811</v>
      </c>
      <c r="E76" s="40" t="s">
        <v>1812</v>
      </c>
      <c r="F76" s="40"/>
      <c r="G76" s="40"/>
      <c r="H76" s="44" t="s">
        <v>1814</v>
      </c>
      <c r="I76" s="41">
        <v>115.58</v>
      </c>
      <c r="J76" s="41">
        <v>115.58</v>
      </c>
      <c r="K76" s="41">
        <v>5232.38</v>
      </c>
      <c r="L76" s="48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41" t="s">
        <v>1388</v>
      </c>
      <c r="C77" s="51" t="s">
        <v>6546</v>
      </c>
      <c r="D77" s="55" t="s">
        <v>1819</v>
      </c>
      <c r="E77" s="40" t="s">
        <v>1820</v>
      </c>
      <c r="F77" s="40"/>
      <c r="G77" s="40"/>
      <c r="H77" s="42" t="s">
        <v>1821</v>
      </c>
      <c r="I77" s="41">
        <v>115.58</v>
      </c>
      <c r="J77" s="41">
        <v>115.58</v>
      </c>
      <c r="K77" s="41">
        <v>5238.39</v>
      </c>
      <c r="L77" s="48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41" t="s">
        <v>1324</v>
      </c>
      <c r="C78" s="51" t="s">
        <v>6547</v>
      </c>
      <c r="D78" s="46" t="s">
        <v>1827</v>
      </c>
      <c r="E78" s="40" t="s">
        <v>1584</v>
      </c>
      <c r="F78" s="40"/>
      <c r="G78" s="40"/>
      <c r="H78" s="44" t="s">
        <v>1829</v>
      </c>
      <c r="I78" s="41">
        <v>115.58</v>
      </c>
      <c r="J78" s="41">
        <v>115.58</v>
      </c>
      <c r="K78" s="41">
        <v>5277.38</v>
      </c>
      <c r="L78" s="48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41" t="s">
        <v>1298</v>
      </c>
      <c r="C79" s="51" t="s">
        <v>6548</v>
      </c>
      <c r="D79" s="46" t="s">
        <v>1834</v>
      </c>
      <c r="E79" s="49" t="s">
        <v>1586</v>
      </c>
      <c r="F79" s="49"/>
      <c r="G79" s="49"/>
      <c r="H79" s="42" t="s">
        <v>1836</v>
      </c>
      <c r="I79" s="41">
        <v>115.58</v>
      </c>
      <c r="J79" s="41">
        <v>115.58</v>
      </c>
      <c r="K79" s="41">
        <v>5283.38</v>
      </c>
      <c r="L79" s="48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41" t="s">
        <v>1229</v>
      </c>
      <c r="C80" s="51" t="s">
        <v>6549</v>
      </c>
      <c r="D80" s="46" t="s">
        <v>1841</v>
      </c>
      <c r="E80" s="40" t="s">
        <v>1842</v>
      </c>
      <c r="F80" s="40"/>
      <c r="G80" s="40"/>
      <c r="H80" s="44" t="s">
        <v>1844</v>
      </c>
      <c r="I80" s="41">
        <v>115.58</v>
      </c>
      <c r="J80" s="41">
        <v>115.58</v>
      </c>
      <c r="K80" s="41">
        <v>5452.23</v>
      </c>
      <c r="L80" s="48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41" t="s">
        <v>1298</v>
      </c>
      <c r="C81" s="51" t="s">
        <v>6550</v>
      </c>
      <c r="D81" s="55" t="s">
        <v>1848</v>
      </c>
      <c r="E81" s="40" t="s">
        <v>1849</v>
      </c>
      <c r="F81" s="40"/>
      <c r="G81" s="40"/>
      <c r="H81" s="42" t="s">
        <v>1851</v>
      </c>
      <c r="I81" s="41">
        <v>115.58</v>
      </c>
      <c r="J81" s="41">
        <v>115.58</v>
      </c>
      <c r="K81" s="41">
        <v>5328.38</v>
      </c>
      <c r="L81" s="48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41">
        <v>2023.3</v>
      </c>
      <c r="C82" s="51" t="s">
        <v>6551</v>
      </c>
      <c r="D82" s="46" t="s">
        <v>1856</v>
      </c>
      <c r="E82" s="40" t="s">
        <v>1857</v>
      </c>
      <c r="F82" s="40"/>
      <c r="G82" s="40"/>
      <c r="H82" s="44" t="s">
        <v>1859</v>
      </c>
      <c r="I82" s="41">
        <v>115.58</v>
      </c>
      <c r="J82" s="41">
        <v>115.58</v>
      </c>
      <c r="K82" s="41">
        <v>5347.38</v>
      </c>
      <c r="L82" s="48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41" t="s">
        <v>1259</v>
      </c>
      <c r="C83" s="51" t="s">
        <v>6552</v>
      </c>
      <c r="D83" s="46" t="s">
        <v>1865</v>
      </c>
      <c r="E83" s="40" t="s">
        <v>1866</v>
      </c>
      <c r="F83" s="40"/>
      <c r="G83" s="40"/>
      <c r="H83" s="42" t="s">
        <v>1868</v>
      </c>
      <c r="I83" s="41">
        <v>115.58</v>
      </c>
      <c r="J83" s="41">
        <v>115.58</v>
      </c>
      <c r="K83" s="41">
        <v>5353.38</v>
      </c>
      <c r="L83" s="48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41" t="s">
        <v>1228</v>
      </c>
      <c r="C84" s="51" t="s">
        <v>6553</v>
      </c>
      <c r="D84" s="46" t="s">
        <v>1874</v>
      </c>
      <c r="E84" s="40" t="s">
        <v>1875</v>
      </c>
      <c r="F84" s="40"/>
      <c r="G84" s="40"/>
      <c r="H84" s="44" t="s">
        <v>1877</v>
      </c>
      <c r="I84" s="41">
        <v>115.58</v>
      </c>
      <c r="J84" s="41">
        <v>115.58</v>
      </c>
      <c r="K84" s="41">
        <v>5392.38</v>
      </c>
      <c r="L84" s="48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41" t="s">
        <v>1363</v>
      </c>
      <c r="C85" s="51" t="s">
        <v>6554</v>
      </c>
      <c r="D85" s="46" t="s">
        <v>1884</v>
      </c>
      <c r="E85" s="40" t="s">
        <v>1885</v>
      </c>
      <c r="F85" s="40"/>
      <c r="G85" s="40"/>
      <c r="H85" s="42" t="s">
        <v>1887</v>
      </c>
      <c r="I85" s="41">
        <v>115.58</v>
      </c>
      <c r="J85" s="41">
        <v>115.58</v>
      </c>
      <c r="K85" s="41">
        <v>5398.38</v>
      </c>
      <c r="L85" s="48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41" t="s">
        <v>1259</v>
      </c>
      <c r="C86" s="51" t="s">
        <v>6555</v>
      </c>
      <c r="D86" s="46" t="s">
        <v>1893</v>
      </c>
      <c r="E86" s="52" t="s">
        <v>1894</v>
      </c>
      <c r="F86" s="52"/>
      <c r="G86" s="52"/>
      <c r="H86" s="44" t="s">
        <v>1896</v>
      </c>
      <c r="I86" s="41">
        <v>115.58</v>
      </c>
      <c r="J86" s="41">
        <v>115.58</v>
      </c>
      <c r="K86" s="41">
        <v>5549.78</v>
      </c>
      <c r="L86" s="48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41" t="s">
        <v>1364</v>
      </c>
      <c r="C87" s="51" t="s">
        <v>6556</v>
      </c>
      <c r="D87" s="46" t="s">
        <v>1901</v>
      </c>
      <c r="E87" s="52" t="s">
        <v>1902</v>
      </c>
      <c r="F87" s="52"/>
      <c r="G87" s="52"/>
      <c r="H87" s="42" t="s">
        <v>1904</v>
      </c>
      <c r="I87" s="41">
        <v>115.58</v>
      </c>
      <c r="J87" s="41">
        <v>115.58</v>
      </c>
      <c r="K87" s="41">
        <v>5500</v>
      </c>
      <c r="L87" s="48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41" t="s">
        <v>1363</v>
      </c>
      <c r="C88" s="51" t="s">
        <v>6557</v>
      </c>
      <c r="D88" s="46" t="s">
        <v>1910</v>
      </c>
      <c r="E88" s="49" t="s">
        <v>1911</v>
      </c>
      <c r="F88" s="49"/>
      <c r="G88" s="49"/>
      <c r="H88" s="42" t="s">
        <v>1913</v>
      </c>
      <c r="I88" s="41">
        <v>115.58</v>
      </c>
      <c r="J88" s="41">
        <v>115.58</v>
      </c>
      <c r="K88" s="41">
        <v>6572.42</v>
      </c>
      <c r="L88" s="48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41" t="s">
        <v>1324</v>
      </c>
      <c r="C89" s="46" t="s">
        <v>6558</v>
      </c>
      <c r="D89" s="56" t="s">
        <v>1918</v>
      </c>
      <c r="E89" s="49" t="s">
        <v>1919</v>
      </c>
      <c r="F89" s="49"/>
      <c r="G89" s="49"/>
      <c r="H89" s="42" t="s">
        <v>1921</v>
      </c>
      <c r="I89" s="41">
        <v>115.58</v>
      </c>
      <c r="J89" s="41">
        <v>115.58</v>
      </c>
      <c r="K89" s="41">
        <v>6630.42</v>
      </c>
      <c r="L89" s="48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41" t="s">
        <v>1298</v>
      </c>
      <c r="C90" s="1047" t="s">
        <v>6559</v>
      </c>
      <c r="D90" s="46" t="s">
        <v>1928</v>
      </c>
      <c r="E90" s="49" t="s">
        <v>406</v>
      </c>
      <c r="F90" s="49"/>
      <c r="G90" s="49"/>
      <c r="H90" s="42" t="s">
        <v>1930</v>
      </c>
      <c r="I90" s="41">
        <v>143.33</v>
      </c>
      <c r="J90" s="41">
        <v>143.33</v>
      </c>
      <c r="K90" s="41">
        <v>7857</v>
      </c>
      <c r="L90" s="43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41" t="s">
        <v>1363</v>
      </c>
      <c r="C91" s="51" t="s">
        <v>6560</v>
      </c>
      <c r="D91" s="46" t="s">
        <v>1938</v>
      </c>
      <c r="E91" s="52" t="s">
        <v>1939</v>
      </c>
      <c r="F91" s="52"/>
      <c r="G91" s="52"/>
      <c r="H91" s="42" t="s">
        <v>1941</v>
      </c>
      <c r="I91" s="41">
        <v>142.14</v>
      </c>
      <c r="J91" s="41">
        <v>142.14</v>
      </c>
      <c r="K91" s="41">
        <v>5086.1</v>
      </c>
      <c r="L91" s="48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54" t="s">
        <v>1952</v>
      </c>
      <c r="C92" s="51" t="s">
        <v>6561</v>
      </c>
      <c r="D92" s="46" t="s">
        <v>1946</v>
      </c>
      <c r="E92" s="52" t="s">
        <v>1947</v>
      </c>
      <c r="F92" s="52"/>
      <c r="G92" s="52"/>
      <c r="H92" s="44" t="s">
        <v>1949</v>
      </c>
      <c r="I92" s="41">
        <v>151.48</v>
      </c>
      <c r="J92" s="41">
        <v>151.48</v>
      </c>
      <c r="K92" s="41">
        <v>5319.74</v>
      </c>
      <c r="L92" s="48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41" t="s">
        <v>1229</v>
      </c>
      <c r="C93" s="41">
        <v>20230001471</v>
      </c>
      <c r="D93" s="50" t="s">
        <v>1954</v>
      </c>
      <c r="E93" s="49" t="s">
        <v>1955</v>
      </c>
      <c r="F93" s="49"/>
      <c r="G93" s="49"/>
      <c r="H93" s="42" t="s">
        <v>1957</v>
      </c>
      <c r="I93" s="41">
        <v>142.14</v>
      </c>
      <c r="J93" s="41">
        <v>142.14</v>
      </c>
      <c r="K93" s="41">
        <v>5136.38</v>
      </c>
      <c r="L93" s="48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41" t="s">
        <v>2243</v>
      </c>
      <c r="C94" s="41">
        <v>20230003708</v>
      </c>
      <c r="D94" s="46" t="s">
        <v>1962</v>
      </c>
      <c r="E94" s="49" t="s">
        <v>1963</v>
      </c>
      <c r="F94" s="49"/>
      <c r="G94" s="49"/>
      <c r="H94" s="44" t="s">
        <v>1965</v>
      </c>
      <c r="I94" s="41">
        <v>151.48</v>
      </c>
      <c r="J94" s="41">
        <v>151.48</v>
      </c>
      <c r="K94" s="41">
        <v>5313.88</v>
      </c>
      <c r="L94" s="43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41" t="s">
        <v>1298</v>
      </c>
      <c r="C95" s="51" t="s">
        <v>6562</v>
      </c>
      <c r="D95" s="46" t="s">
        <v>1973</v>
      </c>
      <c r="E95" s="49" t="s">
        <v>1974</v>
      </c>
      <c r="F95" s="49"/>
      <c r="G95" s="49"/>
      <c r="H95" s="42" t="s">
        <v>1976</v>
      </c>
      <c r="I95" s="41">
        <v>142.14</v>
      </c>
      <c r="J95" s="41">
        <v>142.14</v>
      </c>
      <c r="K95" s="41">
        <v>5166.38</v>
      </c>
      <c r="L95" s="48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41" t="s">
        <v>808</v>
      </c>
      <c r="C96" s="51" t="s">
        <v>6563</v>
      </c>
      <c r="D96" s="46" t="s">
        <v>1981</v>
      </c>
      <c r="E96" s="49" t="s">
        <v>1982</v>
      </c>
      <c r="F96" s="49"/>
      <c r="G96" s="49"/>
      <c r="H96" s="44" t="s">
        <v>1983</v>
      </c>
      <c r="I96" s="41">
        <v>151.48</v>
      </c>
      <c r="J96" s="41">
        <v>151.48</v>
      </c>
      <c r="K96" s="41">
        <v>5329.57</v>
      </c>
      <c r="L96" s="48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41" t="s">
        <v>1994</v>
      </c>
      <c r="C97" s="51" t="s">
        <v>6564</v>
      </c>
      <c r="D97" s="46" t="s">
        <v>1987</v>
      </c>
      <c r="E97" s="49" t="s">
        <v>1988</v>
      </c>
      <c r="F97" s="49"/>
      <c r="G97" s="49"/>
      <c r="H97" s="42" t="s">
        <v>1990</v>
      </c>
      <c r="I97" s="41">
        <v>142.14</v>
      </c>
      <c r="J97" s="41">
        <v>142.14</v>
      </c>
      <c r="K97" s="41">
        <v>5944.84</v>
      </c>
      <c r="L97" s="48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41" t="s">
        <v>1596</v>
      </c>
      <c r="C98" s="51" t="s">
        <v>6565</v>
      </c>
      <c r="D98" s="46" t="s">
        <v>1997</v>
      </c>
      <c r="E98" s="49" t="s">
        <v>1998</v>
      </c>
      <c r="F98" s="49"/>
      <c r="G98" s="49"/>
      <c r="H98" s="44" t="s">
        <v>2000</v>
      </c>
      <c r="I98" s="41">
        <v>151.48</v>
      </c>
      <c r="J98" s="41">
        <v>151.48</v>
      </c>
      <c r="K98" s="41">
        <v>5360</v>
      </c>
      <c r="L98" s="48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41" t="s">
        <v>1363</v>
      </c>
      <c r="C99" s="51" t="s">
        <v>6566</v>
      </c>
      <c r="D99" s="55" t="s">
        <v>2006</v>
      </c>
      <c r="E99" s="49" t="s">
        <v>2007</v>
      </c>
      <c r="F99" s="49"/>
      <c r="G99" s="49"/>
      <c r="H99" s="42" t="s">
        <v>2009</v>
      </c>
      <c r="I99" s="41">
        <v>142.14</v>
      </c>
      <c r="J99" s="41">
        <v>142.14</v>
      </c>
      <c r="K99" s="41">
        <v>5261.38</v>
      </c>
      <c r="L99" s="43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41" t="s">
        <v>1228</v>
      </c>
      <c r="C100" s="51" t="s">
        <v>6567</v>
      </c>
      <c r="D100" s="46" t="s">
        <v>2014</v>
      </c>
      <c r="E100" s="49" t="s">
        <v>2015</v>
      </c>
      <c r="F100" s="49"/>
      <c r="G100" s="49"/>
      <c r="H100" s="44" t="s">
        <v>2016</v>
      </c>
      <c r="I100" s="41">
        <v>151.48</v>
      </c>
      <c r="J100" s="41">
        <v>151.48</v>
      </c>
      <c r="K100" s="41">
        <v>5175.37</v>
      </c>
      <c r="L100" s="48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41" t="s">
        <v>1259</v>
      </c>
      <c r="C101" s="46" t="s">
        <v>6568</v>
      </c>
      <c r="D101" s="55" t="s">
        <v>2021</v>
      </c>
      <c r="E101" s="49" t="s">
        <v>2022</v>
      </c>
      <c r="F101" s="49"/>
      <c r="G101" s="49"/>
      <c r="H101" s="42" t="s">
        <v>2024</v>
      </c>
      <c r="I101" s="41">
        <v>142.14</v>
      </c>
      <c r="J101" s="41">
        <v>142.14</v>
      </c>
      <c r="K101" s="41">
        <v>5306.38</v>
      </c>
      <c r="L101" s="48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41" t="s">
        <v>1229</v>
      </c>
      <c r="C102" s="51" t="s">
        <v>6569</v>
      </c>
      <c r="D102" s="56" t="s">
        <v>2029</v>
      </c>
      <c r="E102" s="52" t="s">
        <v>2030</v>
      </c>
      <c r="F102" s="52"/>
      <c r="G102" s="52"/>
      <c r="H102" s="42" t="s">
        <v>2031</v>
      </c>
      <c r="I102" s="41">
        <v>151.48</v>
      </c>
      <c r="J102" s="41">
        <v>151.48</v>
      </c>
      <c r="K102" s="41">
        <v>5412.09</v>
      </c>
      <c r="L102" s="48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41" t="s">
        <v>1228</v>
      </c>
      <c r="C103" s="51" t="s">
        <v>6570</v>
      </c>
      <c r="D103" s="46" t="s">
        <v>2035</v>
      </c>
      <c r="E103" s="49" t="s">
        <v>2036</v>
      </c>
      <c r="F103" s="49"/>
      <c r="G103" s="49"/>
      <c r="H103" s="42" t="s">
        <v>2037</v>
      </c>
      <c r="I103" s="41">
        <v>142.14</v>
      </c>
      <c r="J103" s="41">
        <v>142.14</v>
      </c>
      <c r="K103" s="41">
        <v>5331.38</v>
      </c>
      <c r="L103" s="48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41" t="s">
        <v>1643</v>
      </c>
      <c r="C104" s="41">
        <v>20230001886</v>
      </c>
      <c r="D104" s="46" t="s">
        <v>2042</v>
      </c>
      <c r="E104" s="52" t="s">
        <v>2043</v>
      </c>
      <c r="F104" s="52"/>
      <c r="G104" s="52"/>
      <c r="H104" s="44" t="s">
        <v>2045</v>
      </c>
      <c r="I104" s="41">
        <v>151.48</v>
      </c>
      <c r="J104" s="41">
        <v>151.48</v>
      </c>
      <c r="K104" s="41">
        <v>5460</v>
      </c>
      <c r="L104" s="43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41" t="s">
        <v>808</v>
      </c>
      <c r="C105" s="51" t="s">
        <v>6571</v>
      </c>
      <c r="D105" s="55" t="s">
        <v>2049</v>
      </c>
      <c r="E105" s="49" t="s">
        <v>2050</v>
      </c>
      <c r="F105" s="49"/>
      <c r="G105" s="49"/>
      <c r="H105" s="42" t="s">
        <v>2052</v>
      </c>
      <c r="I105" s="41">
        <v>142.14</v>
      </c>
      <c r="J105" s="41">
        <v>142.14</v>
      </c>
      <c r="K105" s="41">
        <v>5376.38</v>
      </c>
      <c r="L105" s="48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41" t="s">
        <v>1643</v>
      </c>
      <c r="C106" s="46" t="s">
        <v>6572</v>
      </c>
      <c r="D106" s="46" t="s">
        <v>2057</v>
      </c>
      <c r="E106" s="49" t="s">
        <v>2058</v>
      </c>
      <c r="F106" s="49"/>
      <c r="G106" s="49"/>
      <c r="H106" s="44" t="s">
        <v>2059</v>
      </c>
      <c r="I106" s="41">
        <v>151.48</v>
      </c>
      <c r="J106" s="41">
        <v>151.48</v>
      </c>
      <c r="K106" s="41">
        <v>5550</v>
      </c>
      <c r="L106" s="48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41" t="s">
        <v>1265</v>
      </c>
      <c r="C107" s="41">
        <v>20230000675</v>
      </c>
      <c r="D107" s="46" t="s">
        <v>290</v>
      </c>
      <c r="E107" s="49" t="s">
        <v>291</v>
      </c>
      <c r="F107" s="49"/>
      <c r="G107" s="49"/>
      <c r="H107" s="42" t="s">
        <v>2063</v>
      </c>
      <c r="I107" s="41">
        <v>142.14</v>
      </c>
      <c r="J107" s="41">
        <v>142.14</v>
      </c>
      <c r="K107" s="41">
        <v>5396.38</v>
      </c>
      <c r="L107" s="43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41" t="s">
        <v>1316</v>
      </c>
      <c r="C108" s="51" t="s">
        <v>6573</v>
      </c>
      <c r="D108" s="1047" t="s">
        <v>2070</v>
      </c>
      <c r="E108" s="41" t="s">
        <v>2071</v>
      </c>
      <c r="F108" s="41"/>
      <c r="G108" s="41"/>
      <c r="H108" s="44" t="s">
        <v>2073</v>
      </c>
      <c r="I108" s="41">
        <v>151.48</v>
      </c>
      <c r="J108" s="41">
        <v>151.48</v>
      </c>
      <c r="K108" s="41">
        <v>5617.27</v>
      </c>
      <c r="L108" s="48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41" t="s">
        <v>1324</v>
      </c>
      <c r="C109" s="51" t="s">
        <v>6574</v>
      </c>
      <c r="D109" s="56" t="s">
        <v>2078</v>
      </c>
      <c r="E109" s="49" t="s">
        <v>2079</v>
      </c>
      <c r="F109" s="49"/>
      <c r="G109" s="49"/>
      <c r="H109" s="42" t="s">
        <v>2081</v>
      </c>
      <c r="I109" s="41">
        <v>142.14</v>
      </c>
      <c r="J109" s="41">
        <v>142.14</v>
      </c>
      <c r="K109" s="41">
        <v>6246.42</v>
      </c>
      <c r="L109" s="48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41" t="s">
        <v>2093</v>
      </c>
      <c r="C110" s="41">
        <v>20230004274</v>
      </c>
      <c r="D110" s="46" t="s">
        <v>2086</v>
      </c>
      <c r="E110" s="49" t="s">
        <v>2087</v>
      </c>
      <c r="F110" s="49"/>
      <c r="G110" s="49"/>
      <c r="H110" s="44" t="s">
        <v>2089</v>
      </c>
      <c r="I110" s="41">
        <v>151.48</v>
      </c>
      <c r="J110" s="41">
        <v>151.48</v>
      </c>
      <c r="K110" s="41">
        <v>6230</v>
      </c>
      <c r="L110" s="43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41" t="s">
        <v>1259</v>
      </c>
      <c r="C111" s="51" t="s">
        <v>2139</v>
      </c>
      <c r="D111" s="46" t="s">
        <v>2140</v>
      </c>
      <c r="E111" s="49" t="s">
        <v>2141</v>
      </c>
      <c r="F111" s="49"/>
      <c r="G111" s="49"/>
      <c r="H111" s="42" t="s">
        <v>2143</v>
      </c>
      <c r="I111" s="41">
        <v>107.8</v>
      </c>
      <c r="J111" s="41">
        <v>107.8</v>
      </c>
      <c r="K111" s="41">
        <v>7961</v>
      </c>
      <c r="L111" s="48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41" t="s">
        <v>1473</v>
      </c>
      <c r="C112" s="41">
        <v>20230004510</v>
      </c>
      <c r="D112" s="46" t="s">
        <v>1073</v>
      </c>
      <c r="E112" s="49" t="s">
        <v>1074</v>
      </c>
      <c r="F112" s="49"/>
      <c r="G112" s="49"/>
      <c r="H112" s="44" t="s">
        <v>2150</v>
      </c>
      <c r="I112" s="41">
        <v>107.62</v>
      </c>
      <c r="J112" s="41">
        <v>107.62</v>
      </c>
      <c r="K112" s="41">
        <v>8000</v>
      </c>
      <c r="L112" s="48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41" t="s">
        <v>2163</v>
      </c>
      <c r="C113" s="51" t="s">
        <v>2154</v>
      </c>
      <c r="D113" s="46" t="s">
        <v>2155</v>
      </c>
      <c r="E113" s="41" t="s">
        <v>2156</v>
      </c>
      <c r="F113" s="41"/>
      <c r="G113" s="41"/>
      <c r="H113" s="42" t="s">
        <v>2158</v>
      </c>
      <c r="I113" s="41">
        <v>107.98</v>
      </c>
      <c r="J113" s="41">
        <v>107.98</v>
      </c>
      <c r="K113" s="41">
        <v>5606.13</v>
      </c>
      <c r="L113" s="48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54">
        <v>45284</v>
      </c>
      <c r="C114" s="51" t="s">
        <v>2165</v>
      </c>
      <c r="D114" s="46" t="s">
        <v>2155</v>
      </c>
      <c r="E114" s="41" t="s">
        <v>2166</v>
      </c>
      <c r="F114" s="41"/>
      <c r="G114" s="41"/>
      <c r="H114" s="44" t="s">
        <v>2167</v>
      </c>
      <c r="I114" s="41">
        <v>107.62</v>
      </c>
      <c r="J114" s="41">
        <v>107.62</v>
      </c>
      <c r="K114" s="41">
        <v>5600</v>
      </c>
      <c r="L114" s="48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41" t="s">
        <v>1090</v>
      </c>
      <c r="C115" s="51" t="s">
        <v>2171</v>
      </c>
      <c r="D115" s="46" t="s">
        <v>2172</v>
      </c>
      <c r="E115" s="41" t="s">
        <v>2173</v>
      </c>
      <c r="F115" s="41"/>
      <c r="G115" s="41"/>
      <c r="H115" s="42" t="s">
        <v>2175</v>
      </c>
      <c r="I115" s="41">
        <v>107.98</v>
      </c>
      <c r="J115" s="41">
        <v>107.98</v>
      </c>
      <c r="K115" s="41">
        <v>5610</v>
      </c>
      <c r="L115" s="48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41" t="s">
        <v>2186</v>
      </c>
      <c r="C116" s="51" t="s">
        <v>2178</v>
      </c>
      <c r="D116" s="46" t="s">
        <v>2179</v>
      </c>
      <c r="E116" s="40" t="s">
        <v>2180</v>
      </c>
      <c r="F116" s="40"/>
      <c r="G116" s="40"/>
      <c r="H116" s="44" t="s">
        <v>2182</v>
      </c>
      <c r="I116" s="41">
        <v>107.62</v>
      </c>
      <c r="J116" s="41">
        <v>107.62</v>
      </c>
      <c r="K116" s="41">
        <v>5621.6</v>
      </c>
      <c r="L116" s="48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41" t="s">
        <v>342</v>
      </c>
      <c r="C117" s="51" t="s">
        <v>2188</v>
      </c>
      <c r="D117" s="46" t="s">
        <v>2189</v>
      </c>
      <c r="E117" s="41" t="s">
        <v>2190</v>
      </c>
      <c r="F117" s="41"/>
      <c r="G117" s="41"/>
      <c r="H117" s="42" t="s">
        <v>2192</v>
      </c>
      <c r="I117" s="41">
        <v>107.98</v>
      </c>
      <c r="J117" s="41">
        <v>107.98</v>
      </c>
      <c r="K117" s="41">
        <v>5741.8</v>
      </c>
      <c r="L117" s="48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41" t="s">
        <v>491</v>
      </c>
      <c r="C118" s="51" t="s">
        <v>2195</v>
      </c>
      <c r="D118" s="46" t="s">
        <v>2196</v>
      </c>
      <c r="E118" s="41" t="s">
        <v>2197</v>
      </c>
      <c r="F118" s="41"/>
      <c r="G118" s="41"/>
      <c r="H118" s="42" t="s">
        <v>2199</v>
      </c>
      <c r="I118" s="41">
        <v>107.62</v>
      </c>
      <c r="J118" s="41">
        <v>107.62</v>
      </c>
      <c r="K118" s="41">
        <v>5761.01</v>
      </c>
      <c r="L118" s="48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41" t="s">
        <v>2209</v>
      </c>
      <c r="C119" s="51" t="s">
        <v>2203</v>
      </c>
      <c r="D119" s="46" t="s">
        <v>2204</v>
      </c>
      <c r="E119" s="40" t="s">
        <v>2205</v>
      </c>
      <c r="F119" s="40"/>
      <c r="G119" s="40"/>
      <c r="H119" s="44" t="s">
        <v>2206</v>
      </c>
      <c r="I119" s="41">
        <v>107.98</v>
      </c>
      <c r="J119" s="41">
        <v>107.98</v>
      </c>
      <c r="K119" s="41">
        <v>5463.97</v>
      </c>
      <c r="L119" s="48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41" t="s">
        <v>2218</v>
      </c>
      <c r="C120" s="51" t="s">
        <v>2212</v>
      </c>
      <c r="D120" s="46" t="s">
        <v>2213</v>
      </c>
      <c r="E120" s="40" t="s">
        <v>2214</v>
      </c>
      <c r="F120" s="40"/>
      <c r="G120" s="40"/>
      <c r="H120" s="42" t="s">
        <v>2216</v>
      </c>
      <c r="I120" s="41">
        <v>107.62</v>
      </c>
      <c r="J120" s="41">
        <v>107.62</v>
      </c>
      <c r="K120" s="41">
        <v>5519.63</v>
      </c>
      <c r="L120" s="48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41" t="s">
        <v>826</v>
      </c>
      <c r="C121" s="51" t="s">
        <v>2220</v>
      </c>
      <c r="D121" s="46" t="s">
        <v>2221</v>
      </c>
      <c r="E121" s="41" t="s">
        <v>2128</v>
      </c>
      <c r="F121" s="41"/>
      <c r="G121" s="41"/>
      <c r="H121" s="44" t="s">
        <v>2223</v>
      </c>
      <c r="I121" s="41">
        <v>107.98</v>
      </c>
      <c r="J121" s="41">
        <v>107.98</v>
      </c>
      <c r="K121" s="41">
        <v>5566.28</v>
      </c>
      <c r="L121" s="48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41" t="s">
        <v>1265</v>
      </c>
      <c r="C122" s="51" t="s">
        <v>2228</v>
      </c>
      <c r="D122" s="46" t="s">
        <v>2229</v>
      </c>
      <c r="E122" s="40" t="s">
        <v>2230</v>
      </c>
      <c r="F122" s="40"/>
      <c r="G122" s="40"/>
      <c r="H122" s="42" t="s">
        <v>2232</v>
      </c>
      <c r="I122" s="41">
        <v>107.62</v>
      </c>
      <c r="J122" s="41">
        <v>107.62</v>
      </c>
      <c r="K122" s="41">
        <v>5269.38</v>
      </c>
      <c r="L122" s="48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41" t="s">
        <v>2243</v>
      </c>
      <c r="C123" s="51" t="s">
        <v>2238</v>
      </c>
      <c r="D123" s="46" t="s">
        <v>2239</v>
      </c>
      <c r="E123" s="40" t="s">
        <v>2132</v>
      </c>
      <c r="F123" s="40"/>
      <c r="G123" s="40"/>
      <c r="H123" s="44" t="s">
        <v>2241</v>
      </c>
      <c r="I123" s="41">
        <v>107.98</v>
      </c>
      <c r="J123" s="41">
        <v>107.98</v>
      </c>
      <c r="K123" s="41">
        <v>5653.65</v>
      </c>
      <c r="L123" s="48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41" t="s">
        <v>976</v>
      </c>
      <c r="C124" s="51" t="s">
        <v>2245</v>
      </c>
      <c r="D124" s="46" t="s">
        <v>2246</v>
      </c>
      <c r="E124" s="49" t="s">
        <v>2102</v>
      </c>
      <c r="F124" s="49"/>
      <c r="G124" s="49"/>
      <c r="H124" s="42" t="s">
        <v>2248</v>
      </c>
      <c r="I124" s="41">
        <v>107.62</v>
      </c>
      <c r="J124" s="41">
        <v>107.62</v>
      </c>
      <c r="K124" s="41">
        <v>5936.5</v>
      </c>
      <c r="L124" s="48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41" t="s">
        <v>1473</v>
      </c>
      <c r="C125" s="51" t="s">
        <v>2251</v>
      </c>
      <c r="D125" s="46" t="s">
        <v>2252</v>
      </c>
      <c r="E125" s="41" t="s">
        <v>2253</v>
      </c>
      <c r="F125" s="41"/>
      <c r="G125" s="41"/>
      <c r="H125" s="44" t="s">
        <v>2255</v>
      </c>
      <c r="I125" s="41">
        <v>107.98</v>
      </c>
      <c r="J125" s="41">
        <v>107.98</v>
      </c>
      <c r="K125" s="41">
        <v>5640</v>
      </c>
      <c r="L125" s="48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41" t="s">
        <v>2266</v>
      </c>
      <c r="C126" s="51" t="s">
        <v>2260</v>
      </c>
      <c r="D126" s="46" t="s">
        <v>2261</v>
      </c>
      <c r="E126" s="41" t="s">
        <v>2262</v>
      </c>
      <c r="F126" s="41"/>
      <c r="G126" s="41"/>
      <c r="H126" s="42" t="s">
        <v>2264</v>
      </c>
      <c r="I126" s="41">
        <v>107.62</v>
      </c>
      <c r="J126" s="41">
        <v>107.62</v>
      </c>
      <c r="K126" s="41">
        <v>5850</v>
      </c>
      <c r="L126" s="48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41">
        <v>2023.7</v>
      </c>
      <c r="C127" s="51" t="s">
        <v>2268</v>
      </c>
      <c r="D127" s="46" t="s">
        <v>2269</v>
      </c>
      <c r="E127" s="40" t="s">
        <v>2270</v>
      </c>
      <c r="F127" s="40"/>
      <c r="G127" s="40"/>
      <c r="H127" s="44" t="s">
        <v>2272</v>
      </c>
      <c r="I127" s="41">
        <v>107.98</v>
      </c>
      <c r="J127" s="41">
        <v>107.98</v>
      </c>
      <c r="K127" s="41">
        <v>5985.13</v>
      </c>
      <c r="L127" s="48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41" t="s">
        <v>2283</v>
      </c>
      <c r="C128" s="51" t="s">
        <v>2276</v>
      </c>
      <c r="D128" s="46" t="s">
        <v>2277</v>
      </c>
      <c r="E128" s="41" t="s">
        <v>2278</v>
      </c>
      <c r="F128" s="41"/>
      <c r="G128" s="41"/>
      <c r="H128" s="42" t="s">
        <v>2280</v>
      </c>
      <c r="I128" s="41">
        <v>107.62</v>
      </c>
      <c r="J128" s="41">
        <v>107.62</v>
      </c>
      <c r="K128" s="41">
        <v>5671.55</v>
      </c>
      <c r="L128" s="48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41" t="s">
        <v>2290</v>
      </c>
      <c r="C129" s="51" t="s">
        <v>2285</v>
      </c>
      <c r="D129" s="1048" t="s">
        <v>2286</v>
      </c>
      <c r="E129" s="41" t="s">
        <v>2287</v>
      </c>
      <c r="F129" s="41"/>
      <c r="G129" s="41"/>
      <c r="H129" s="44" t="s">
        <v>2288</v>
      </c>
      <c r="I129" s="41">
        <v>107.98</v>
      </c>
      <c r="J129" s="41">
        <v>107.98</v>
      </c>
      <c r="K129" s="41">
        <v>6019.63</v>
      </c>
      <c r="L129" s="48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41" t="s">
        <v>2093</v>
      </c>
      <c r="C130" s="51" t="s">
        <v>2293</v>
      </c>
      <c r="D130" s="46" t="s">
        <v>2294</v>
      </c>
      <c r="E130" s="41" t="s">
        <v>2295</v>
      </c>
      <c r="F130" s="41"/>
      <c r="G130" s="41"/>
      <c r="H130" s="42" t="s">
        <v>2297</v>
      </c>
      <c r="I130" s="41">
        <v>107.62</v>
      </c>
      <c r="J130" s="41">
        <v>107.62</v>
      </c>
      <c r="K130" s="41">
        <v>5737</v>
      </c>
      <c r="L130" s="48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41" t="s">
        <v>1898</v>
      </c>
      <c r="C131" s="51" t="s">
        <v>2300</v>
      </c>
      <c r="D131" s="46" t="s">
        <v>2301</v>
      </c>
      <c r="E131" s="41" t="s">
        <v>2302</v>
      </c>
      <c r="F131" s="41"/>
      <c r="G131" s="41"/>
      <c r="H131" s="42" t="s">
        <v>2304</v>
      </c>
      <c r="I131" s="41">
        <v>107.98</v>
      </c>
      <c r="J131" s="41">
        <v>107.98</v>
      </c>
      <c r="K131" s="41">
        <v>7000</v>
      </c>
      <c r="L131" s="48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41" t="s">
        <v>471</v>
      </c>
      <c r="C132" s="51" t="s">
        <v>2307</v>
      </c>
      <c r="D132" s="46" t="s">
        <v>2308</v>
      </c>
      <c r="E132" s="41" t="s">
        <v>2309</v>
      </c>
      <c r="F132" s="41"/>
      <c r="G132" s="41"/>
      <c r="H132" s="42" t="s">
        <v>2311</v>
      </c>
      <c r="I132" s="41">
        <v>107.62</v>
      </c>
      <c r="J132" s="41">
        <v>107.62</v>
      </c>
      <c r="K132" s="41">
        <v>7040</v>
      </c>
      <c r="L132" s="48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54">
        <v>45081</v>
      </c>
      <c r="C133" s="51" t="s">
        <v>2315</v>
      </c>
      <c r="D133" s="1047" t="s">
        <v>2316</v>
      </c>
      <c r="E133" s="52" t="s">
        <v>2317</v>
      </c>
      <c r="F133" s="52"/>
      <c r="G133" s="52"/>
      <c r="H133" s="44" t="s">
        <v>2318</v>
      </c>
      <c r="I133" s="41">
        <v>107.62</v>
      </c>
      <c r="J133" s="41">
        <v>107.62</v>
      </c>
      <c r="K133" s="41">
        <v>8173.5</v>
      </c>
      <c r="L133" s="48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41">
        <v>2023.4</v>
      </c>
      <c r="C134" s="51" t="s">
        <v>2340</v>
      </c>
      <c r="D134" s="46" t="s">
        <v>2341</v>
      </c>
      <c r="E134" s="40" t="s">
        <v>2342</v>
      </c>
      <c r="F134" s="40"/>
      <c r="G134" s="40"/>
      <c r="H134" s="44" t="s">
        <v>2344</v>
      </c>
      <c r="I134" s="41">
        <v>107.62</v>
      </c>
      <c r="J134" s="41">
        <v>107.62</v>
      </c>
      <c r="K134" s="41">
        <v>5342.87</v>
      </c>
      <c r="L134" s="48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41" t="s">
        <v>1411</v>
      </c>
      <c r="C135" s="51" t="s">
        <v>2348</v>
      </c>
      <c r="D135" s="46" t="s">
        <v>2349</v>
      </c>
      <c r="E135" s="41" t="s">
        <v>2350</v>
      </c>
      <c r="F135" s="41"/>
      <c r="G135" s="41"/>
      <c r="H135" s="42" t="s">
        <v>2352</v>
      </c>
      <c r="I135" s="41">
        <v>107.62</v>
      </c>
      <c r="J135" s="41">
        <v>107.62</v>
      </c>
      <c r="K135" s="41">
        <v>5600</v>
      </c>
      <c r="L135" s="48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41" t="s">
        <v>2362</v>
      </c>
      <c r="C136" s="51" t="s">
        <v>2356</v>
      </c>
      <c r="D136" s="46" t="s">
        <v>2357</v>
      </c>
      <c r="E136" s="41" t="s">
        <v>2358</v>
      </c>
      <c r="F136" s="41"/>
      <c r="G136" s="41"/>
      <c r="H136" s="44" t="s">
        <v>2360</v>
      </c>
      <c r="I136" s="41">
        <v>107.62</v>
      </c>
      <c r="J136" s="41">
        <v>107.62</v>
      </c>
      <c r="K136" s="41">
        <v>5407.9</v>
      </c>
      <c r="L136" s="48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41">
        <v>2023.5</v>
      </c>
      <c r="C137" s="51" t="s">
        <v>2363</v>
      </c>
      <c r="D137" s="46" t="s">
        <v>2364</v>
      </c>
      <c r="E137" s="41" t="s">
        <v>2365</v>
      </c>
      <c r="F137" s="41"/>
      <c r="G137" s="41"/>
      <c r="H137" s="42" t="s">
        <v>2367</v>
      </c>
      <c r="I137" s="41">
        <v>107.62</v>
      </c>
      <c r="J137" s="41">
        <v>107.62</v>
      </c>
      <c r="K137" s="41">
        <v>5407.9</v>
      </c>
      <c r="L137" s="48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41" t="s">
        <v>2375</v>
      </c>
      <c r="C138" s="51" t="s">
        <v>2369</v>
      </c>
      <c r="D138" s="46" t="s">
        <v>2370</v>
      </c>
      <c r="E138" s="52" t="s">
        <v>2371</v>
      </c>
      <c r="F138" s="52"/>
      <c r="G138" s="52"/>
      <c r="H138" s="44" t="s">
        <v>2373</v>
      </c>
      <c r="I138" s="41">
        <v>107.62</v>
      </c>
      <c r="J138" s="41">
        <v>107.62</v>
      </c>
      <c r="K138" s="41">
        <v>5491.54</v>
      </c>
      <c r="L138" s="48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41" t="s">
        <v>1282</v>
      </c>
      <c r="C139" s="51" t="s">
        <v>2377</v>
      </c>
      <c r="D139" s="46" t="s">
        <v>2378</v>
      </c>
      <c r="E139" s="52" t="s">
        <v>2379</v>
      </c>
      <c r="F139" s="52"/>
      <c r="G139" s="52"/>
      <c r="H139" s="42" t="s">
        <v>2381</v>
      </c>
      <c r="I139" s="41">
        <v>107.62</v>
      </c>
      <c r="J139" s="41">
        <v>107.62</v>
      </c>
      <c r="K139" s="41">
        <v>5483.27</v>
      </c>
      <c r="L139" s="48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41" t="s">
        <v>1363</v>
      </c>
      <c r="C140" s="41">
        <v>20230001086</v>
      </c>
      <c r="D140" s="46" t="s">
        <v>2384</v>
      </c>
      <c r="E140" s="49" t="s">
        <v>2116</v>
      </c>
      <c r="F140" s="49"/>
      <c r="G140" s="49"/>
      <c r="H140" s="44" t="s">
        <v>2386</v>
      </c>
      <c r="I140" s="41">
        <v>107.62</v>
      </c>
      <c r="J140" s="41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41" t="s">
        <v>1229</v>
      </c>
      <c r="C141" s="51" t="s">
        <v>2393</v>
      </c>
      <c r="D141" s="46" t="s">
        <v>2394</v>
      </c>
      <c r="E141" s="49" t="s">
        <v>2100</v>
      </c>
      <c r="F141" s="49"/>
      <c r="G141" s="49"/>
      <c r="H141" s="42" t="s">
        <v>2396</v>
      </c>
      <c r="I141" s="41">
        <v>107.62</v>
      </c>
      <c r="J141" s="41">
        <v>107.62</v>
      </c>
      <c r="K141" s="41">
        <v>5256.38</v>
      </c>
      <c r="L141" s="48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41" t="s">
        <v>1473</v>
      </c>
      <c r="C142" s="51" t="s">
        <v>2402</v>
      </c>
      <c r="D142" s="46" t="s">
        <v>2403</v>
      </c>
      <c r="E142" s="52" t="s">
        <v>2404</v>
      </c>
      <c r="F142" s="52"/>
      <c r="G142" s="52"/>
      <c r="H142" s="42" t="s">
        <v>2406</v>
      </c>
      <c r="I142" s="41">
        <v>107.62</v>
      </c>
      <c r="J142" s="41">
        <v>107.62</v>
      </c>
      <c r="K142" s="41">
        <v>5605.41</v>
      </c>
      <c r="L142" s="48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41" t="s">
        <v>1019</v>
      </c>
      <c r="C143" s="51" t="s">
        <v>2409</v>
      </c>
      <c r="D143" s="46" t="s">
        <v>2410</v>
      </c>
      <c r="E143" s="52" t="s">
        <v>2411</v>
      </c>
      <c r="F143" s="52"/>
      <c r="G143" s="52"/>
      <c r="H143" s="42" t="s">
        <v>2413</v>
      </c>
      <c r="I143" s="41">
        <v>107.62</v>
      </c>
      <c r="J143" s="41">
        <v>107.62</v>
      </c>
      <c r="K143" s="41">
        <v>5301.38</v>
      </c>
      <c r="L143" s="48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41" t="s">
        <v>1472</v>
      </c>
      <c r="C144" s="51" t="s">
        <v>2418</v>
      </c>
      <c r="D144" s="46" t="s">
        <v>2419</v>
      </c>
      <c r="E144" s="49" t="s">
        <v>2420</v>
      </c>
      <c r="F144" s="49"/>
      <c r="G144" s="49"/>
      <c r="H144" s="42" t="s">
        <v>2422</v>
      </c>
      <c r="I144" s="41">
        <v>107.62</v>
      </c>
      <c r="J144" s="41">
        <v>107.62</v>
      </c>
      <c r="K144" s="41">
        <v>5620</v>
      </c>
      <c r="L144" s="48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41" t="s">
        <v>2283</v>
      </c>
      <c r="C145" s="51" t="s">
        <v>2426</v>
      </c>
      <c r="D145" s="56" t="s">
        <v>2427</v>
      </c>
      <c r="E145" s="52" t="s">
        <v>2134</v>
      </c>
      <c r="F145" s="52"/>
      <c r="G145" s="52"/>
      <c r="H145" s="44" t="s">
        <v>2429</v>
      </c>
      <c r="I145" s="41">
        <v>107.62</v>
      </c>
      <c r="J145" s="41">
        <v>107.62</v>
      </c>
      <c r="K145" s="41">
        <v>5621.63</v>
      </c>
      <c r="L145" s="48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41" t="s">
        <v>1952</v>
      </c>
      <c r="C146" s="51" t="s">
        <v>2433</v>
      </c>
      <c r="D146" s="46" t="s">
        <v>2434</v>
      </c>
      <c r="E146" s="52" t="s">
        <v>2108</v>
      </c>
      <c r="F146" s="52"/>
      <c r="G146" s="52"/>
      <c r="H146" s="42" t="s">
        <v>2436</v>
      </c>
      <c r="I146" s="41">
        <v>107.62</v>
      </c>
      <c r="J146" s="41">
        <v>107.62</v>
      </c>
      <c r="K146" s="41">
        <v>5657.76</v>
      </c>
      <c r="L146" s="48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41" t="s">
        <v>2448</v>
      </c>
      <c r="C147" s="51" t="s">
        <v>2440</v>
      </c>
      <c r="D147" s="56" t="s">
        <v>2441</v>
      </c>
      <c r="E147" s="52" t="s">
        <v>2442</v>
      </c>
      <c r="F147" s="52"/>
      <c r="G147" s="52"/>
      <c r="H147" s="44" t="s">
        <v>2444</v>
      </c>
      <c r="I147" s="41">
        <v>107.62</v>
      </c>
      <c r="J147" s="41">
        <v>107.62</v>
      </c>
      <c r="K147" s="41">
        <v>5657.76</v>
      </c>
      <c r="L147" s="48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41" t="s">
        <v>2456</v>
      </c>
      <c r="C148" s="51" t="s">
        <v>2450</v>
      </c>
      <c r="D148" s="46" t="s">
        <v>2451</v>
      </c>
      <c r="E148" s="41" t="s">
        <v>2452</v>
      </c>
      <c r="F148" s="41"/>
      <c r="G148" s="41"/>
      <c r="H148" s="42" t="s">
        <v>2454</v>
      </c>
      <c r="I148" s="41">
        <v>107.62</v>
      </c>
      <c r="J148" s="41">
        <v>107.62</v>
      </c>
      <c r="K148" s="41">
        <v>5950</v>
      </c>
      <c r="L148" s="48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41" t="s">
        <v>1473</v>
      </c>
      <c r="C149" s="51" t="s">
        <v>2459</v>
      </c>
      <c r="D149" s="46" t="s">
        <v>2460</v>
      </c>
      <c r="E149" s="52" t="s">
        <v>2461</v>
      </c>
      <c r="F149" s="52"/>
      <c r="G149" s="52"/>
      <c r="H149" s="44" t="s">
        <v>2463</v>
      </c>
      <c r="I149" s="41">
        <v>107.62</v>
      </c>
      <c r="J149" s="41">
        <v>107.62</v>
      </c>
      <c r="K149" s="41">
        <v>5965.4</v>
      </c>
      <c r="L149" s="48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41" t="s">
        <v>1325</v>
      </c>
      <c r="C150" s="51" t="s">
        <v>2466</v>
      </c>
      <c r="D150" s="46" t="s">
        <v>2467</v>
      </c>
      <c r="E150" s="52" t="s">
        <v>2468</v>
      </c>
      <c r="F150" s="52"/>
      <c r="G150" s="52"/>
      <c r="H150" s="42" t="s">
        <v>2470</v>
      </c>
      <c r="I150" s="41">
        <v>107.62</v>
      </c>
      <c r="J150" s="41">
        <v>107.62</v>
      </c>
      <c r="K150" s="41">
        <v>7116</v>
      </c>
      <c r="L150" s="48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41" t="s">
        <v>2186</v>
      </c>
      <c r="C151" s="51" t="s">
        <v>2474</v>
      </c>
      <c r="D151" s="46" t="s">
        <v>2475</v>
      </c>
      <c r="E151" s="49" t="s">
        <v>2476</v>
      </c>
      <c r="F151" s="49"/>
      <c r="G151" s="49"/>
      <c r="H151" s="44" t="s">
        <v>2478</v>
      </c>
      <c r="I151" s="41">
        <v>107.62</v>
      </c>
      <c r="J151" s="41">
        <v>107.62</v>
      </c>
      <c r="K151" s="41">
        <v>6968.96</v>
      </c>
      <c r="L151" s="48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41" t="s">
        <v>331</v>
      </c>
      <c r="C152" s="51" t="s">
        <v>2483</v>
      </c>
      <c r="D152" s="46" t="s">
        <v>2484</v>
      </c>
      <c r="E152" s="52" t="s">
        <v>2485</v>
      </c>
      <c r="F152" s="52"/>
      <c r="G152" s="52"/>
      <c r="H152" s="44" t="s">
        <v>2486</v>
      </c>
      <c r="I152" s="41">
        <v>107.98</v>
      </c>
      <c r="J152" s="41">
        <v>107.98</v>
      </c>
      <c r="K152" s="41">
        <v>7992.01</v>
      </c>
      <c r="L152" s="48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54">
        <v>45417</v>
      </c>
      <c r="C153" s="51" t="s">
        <v>2495</v>
      </c>
      <c r="D153" s="46" t="s">
        <v>2496</v>
      </c>
      <c r="E153" s="52" t="s">
        <v>2497</v>
      </c>
      <c r="F153" s="52"/>
      <c r="G153" s="52"/>
      <c r="H153" s="44" t="s">
        <v>2499</v>
      </c>
      <c r="I153" s="41">
        <v>107.98</v>
      </c>
      <c r="J153" s="41">
        <v>107.98</v>
      </c>
      <c r="K153" s="41">
        <v>5600</v>
      </c>
      <c r="L153" s="48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41" t="s">
        <v>618</v>
      </c>
      <c r="C154" s="50" t="s">
        <v>2503</v>
      </c>
      <c r="D154" s="46" t="s">
        <v>2504</v>
      </c>
      <c r="E154" s="52" t="s">
        <v>2136</v>
      </c>
      <c r="F154" s="52"/>
      <c r="G154" s="52"/>
      <c r="H154" s="42" t="s">
        <v>2506</v>
      </c>
      <c r="I154" s="41">
        <v>107.62</v>
      </c>
      <c r="J154" s="41">
        <v>107.62</v>
      </c>
      <c r="K154" s="59">
        <v>5650</v>
      </c>
      <c r="L154" s="48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41" t="s">
        <v>2517</v>
      </c>
      <c r="C155" s="51" t="s">
        <v>2510</v>
      </c>
      <c r="D155" s="46" t="s">
        <v>2511</v>
      </c>
      <c r="E155" s="52" t="s">
        <v>2512</v>
      </c>
      <c r="F155" s="52"/>
      <c r="G155" s="52"/>
      <c r="H155" s="42" t="s">
        <v>2514</v>
      </c>
      <c r="I155" s="41">
        <v>107.98</v>
      </c>
      <c r="J155" s="41">
        <v>107.98</v>
      </c>
      <c r="K155" s="41">
        <v>5649</v>
      </c>
      <c r="L155" s="48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41" t="s">
        <v>1027</v>
      </c>
      <c r="C156" s="51" t="s">
        <v>2519</v>
      </c>
      <c r="D156" s="46" t="s">
        <v>2520</v>
      </c>
      <c r="E156" s="52" t="s">
        <v>2521</v>
      </c>
      <c r="F156" s="52"/>
      <c r="G156" s="52"/>
      <c r="H156" s="42" t="s">
        <v>2523</v>
      </c>
      <c r="I156" s="41">
        <v>107.62</v>
      </c>
      <c r="J156" s="41">
        <v>107.62</v>
      </c>
      <c r="K156" s="41">
        <v>5723.84</v>
      </c>
      <c r="L156" s="48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41" t="s">
        <v>826</v>
      </c>
      <c r="C157" s="51" t="s">
        <v>2528</v>
      </c>
      <c r="D157" s="1048" t="s">
        <v>2529</v>
      </c>
      <c r="E157" s="52" t="s">
        <v>2530</v>
      </c>
      <c r="F157" s="52"/>
      <c r="G157" s="52"/>
      <c r="H157" s="44" t="s">
        <v>2531</v>
      </c>
      <c r="I157" s="41">
        <v>107.98</v>
      </c>
      <c r="J157" s="41">
        <v>107.98</v>
      </c>
      <c r="K157" s="41">
        <v>5660</v>
      </c>
      <c r="L157" s="48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41" t="s">
        <v>846</v>
      </c>
      <c r="C158" s="51" t="s">
        <v>2534</v>
      </c>
      <c r="D158" s="46" t="s">
        <v>2535</v>
      </c>
      <c r="E158" s="52" t="s">
        <v>2536</v>
      </c>
      <c r="F158" s="52"/>
      <c r="G158" s="52"/>
      <c r="H158" s="42" t="s">
        <v>2538</v>
      </c>
      <c r="I158" s="41">
        <v>107.62</v>
      </c>
      <c r="J158" s="41">
        <v>107.62</v>
      </c>
      <c r="K158" s="41">
        <v>5482.25</v>
      </c>
      <c r="L158" s="48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41" t="s">
        <v>810</v>
      </c>
      <c r="C159" s="46" t="s">
        <v>2542</v>
      </c>
      <c r="D159" s="46" t="s">
        <v>6575</v>
      </c>
      <c r="E159" s="52" t="s">
        <v>2544</v>
      </c>
      <c r="F159" s="52"/>
      <c r="G159" s="52"/>
      <c r="H159" s="44" t="s">
        <v>2546</v>
      </c>
      <c r="I159" s="41">
        <v>107.98</v>
      </c>
      <c r="J159" s="41">
        <v>107.98</v>
      </c>
      <c r="K159" s="41">
        <v>5800</v>
      </c>
      <c r="L159" s="48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41" t="s">
        <v>1925</v>
      </c>
      <c r="C160" s="41">
        <v>20230003244</v>
      </c>
      <c r="D160" s="46" t="s">
        <v>2549</v>
      </c>
      <c r="E160" s="52" t="s">
        <v>2550</v>
      </c>
      <c r="F160" s="52"/>
      <c r="G160" s="52"/>
      <c r="H160" s="42" t="s">
        <v>2552</v>
      </c>
      <c r="I160" s="41">
        <v>107.62</v>
      </c>
      <c r="J160" s="41">
        <v>107.62</v>
      </c>
      <c r="K160" s="41">
        <v>5566.5</v>
      </c>
      <c r="L160" s="43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41" t="s">
        <v>1456</v>
      </c>
      <c r="C161" s="41">
        <v>20230003314</v>
      </c>
      <c r="D161" s="46" t="s">
        <v>2555</v>
      </c>
      <c r="E161" s="49" t="s">
        <v>2556</v>
      </c>
      <c r="F161" s="49"/>
      <c r="G161" s="49"/>
      <c r="H161" s="44" t="s">
        <v>2557</v>
      </c>
      <c r="I161" s="41">
        <v>107.98</v>
      </c>
      <c r="J161" s="41">
        <v>107.98</v>
      </c>
      <c r="K161" s="41">
        <v>5547.32</v>
      </c>
      <c r="L161" s="43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41" t="s">
        <v>976</v>
      </c>
      <c r="C162" s="51" t="s">
        <v>2560</v>
      </c>
      <c r="D162" s="46" t="s">
        <v>2561</v>
      </c>
      <c r="E162" s="52" t="s">
        <v>2562</v>
      </c>
      <c r="F162" s="52"/>
      <c r="G162" s="52"/>
      <c r="H162" s="42" t="s">
        <v>2564</v>
      </c>
      <c r="I162" s="41">
        <v>107.62</v>
      </c>
      <c r="J162" s="41">
        <v>107.62</v>
      </c>
      <c r="K162" s="41">
        <v>5863.22</v>
      </c>
      <c r="L162" s="48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41" t="s">
        <v>479</v>
      </c>
      <c r="C163" s="41">
        <v>20230005717</v>
      </c>
      <c r="D163" s="46" t="s">
        <v>2568</v>
      </c>
      <c r="E163" s="52" t="s">
        <v>2569</v>
      </c>
      <c r="F163" s="52"/>
      <c r="G163" s="52"/>
      <c r="H163" s="44" t="s">
        <v>2571</v>
      </c>
      <c r="I163" s="41">
        <v>107.98</v>
      </c>
      <c r="J163" s="41">
        <v>107.98</v>
      </c>
      <c r="K163" s="41">
        <v>5881.59</v>
      </c>
      <c r="L163" s="43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41" t="s">
        <v>1389</v>
      </c>
      <c r="C164" s="41">
        <v>20230004619</v>
      </c>
      <c r="D164" s="46" t="s">
        <v>2574</v>
      </c>
      <c r="E164" s="41" t="s">
        <v>2575</v>
      </c>
      <c r="F164" s="41"/>
      <c r="G164" s="41"/>
      <c r="H164" s="42" t="s">
        <v>2577</v>
      </c>
      <c r="I164" s="41">
        <v>107.62</v>
      </c>
      <c r="J164" s="41">
        <v>107.62</v>
      </c>
      <c r="K164" s="41">
        <v>5918.84</v>
      </c>
      <c r="L164" s="43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41">
        <v>2023.6</v>
      </c>
      <c r="C165" s="41">
        <v>20230005387</v>
      </c>
      <c r="D165" s="46" t="s">
        <v>2581</v>
      </c>
      <c r="E165" s="41" t="s">
        <v>2582</v>
      </c>
      <c r="F165" s="41"/>
      <c r="G165" s="41"/>
      <c r="H165" s="44" t="s">
        <v>2583</v>
      </c>
      <c r="I165" s="41">
        <v>107.98</v>
      </c>
      <c r="J165" s="41">
        <v>107.98</v>
      </c>
      <c r="K165" s="41">
        <v>5907.41804037785</v>
      </c>
      <c r="L165" s="43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41" t="s">
        <v>2266</v>
      </c>
      <c r="C166" s="41">
        <v>20230004337</v>
      </c>
      <c r="D166" s="1047" t="s">
        <v>2586</v>
      </c>
      <c r="E166" s="41" t="s">
        <v>2124</v>
      </c>
      <c r="F166" s="41"/>
      <c r="G166" s="41"/>
      <c r="H166" s="42" t="s">
        <v>2587</v>
      </c>
      <c r="I166" s="41">
        <v>107.62</v>
      </c>
      <c r="J166" s="41">
        <v>107.62</v>
      </c>
      <c r="K166" s="41">
        <v>5696</v>
      </c>
      <c r="L166" s="43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54">
        <v>45121</v>
      </c>
      <c r="C167" s="41">
        <v>20230005922</v>
      </c>
      <c r="D167" s="46" t="s">
        <v>2589</v>
      </c>
      <c r="E167" s="41" t="s">
        <v>2590</v>
      </c>
      <c r="F167" s="41"/>
      <c r="G167" s="41"/>
      <c r="H167" s="44" t="s">
        <v>2592</v>
      </c>
      <c r="I167" s="41">
        <v>107.98</v>
      </c>
      <c r="J167" s="41">
        <v>107.98</v>
      </c>
      <c r="K167" s="41">
        <v>5910</v>
      </c>
      <c r="L167" s="43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41" t="s">
        <v>314</v>
      </c>
      <c r="C168" s="41">
        <v>20230008557</v>
      </c>
      <c r="D168" s="46" t="s">
        <v>2597</v>
      </c>
      <c r="E168" s="41" t="s">
        <v>2598</v>
      </c>
      <c r="F168" s="41"/>
      <c r="G168" s="41"/>
      <c r="H168" s="42" t="s">
        <v>2600</v>
      </c>
      <c r="I168" s="41">
        <v>107.62</v>
      </c>
      <c r="J168" s="41">
        <v>107.62</v>
      </c>
      <c r="K168" s="41">
        <v>5946.85</v>
      </c>
      <c r="L168" s="43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41" t="s">
        <v>867</v>
      </c>
      <c r="C169" s="41">
        <v>20230009213</v>
      </c>
      <c r="D169" s="46" t="s">
        <v>2603</v>
      </c>
      <c r="E169" s="40" t="s">
        <v>2604</v>
      </c>
      <c r="F169" s="40"/>
      <c r="G169" s="40"/>
      <c r="H169" s="42" t="s">
        <v>2606</v>
      </c>
      <c r="I169" s="41">
        <v>107.98</v>
      </c>
      <c r="J169" s="41">
        <v>107.98</v>
      </c>
      <c r="K169" s="41">
        <v>5980</v>
      </c>
      <c r="L169" s="43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41" t="s">
        <v>2615</v>
      </c>
      <c r="C170" s="41">
        <v>20240000479</v>
      </c>
      <c r="D170" s="46" t="s">
        <v>2610</v>
      </c>
      <c r="E170" s="41" t="s">
        <v>2611</v>
      </c>
      <c r="F170" s="41"/>
      <c r="G170" s="41"/>
      <c r="H170" s="42" t="s">
        <v>2613</v>
      </c>
      <c r="I170" s="41">
        <v>107.62</v>
      </c>
      <c r="J170" s="41">
        <v>107.62</v>
      </c>
      <c r="K170" s="41">
        <v>7015.42</v>
      </c>
      <c r="L170" s="43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41" t="s">
        <v>2622</v>
      </c>
      <c r="C171" s="41">
        <v>20230006969</v>
      </c>
      <c r="D171" s="46" t="s">
        <v>2617</v>
      </c>
      <c r="E171" s="41" t="s">
        <v>2618</v>
      </c>
      <c r="F171" s="41"/>
      <c r="G171" s="41"/>
      <c r="H171" s="42" t="s">
        <v>2620</v>
      </c>
      <c r="I171" s="41">
        <v>107.98</v>
      </c>
      <c r="J171" s="41">
        <v>107.98</v>
      </c>
      <c r="K171" s="41">
        <v>6945.73</v>
      </c>
      <c r="L171" s="43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41" t="s">
        <v>1259</v>
      </c>
      <c r="C172" s="41">
        <v>20230001167</v>
      </c>
      <c r="D172" s="46" t="s">
        <v>6576</v>
      </c>
      <c r="E172" s="40" t="s">
        <v>2692</v>
      </c>
      <c r="F172" s="40"/>
      <c r="G172" s="40"/>
      <c r="H172" s="42" t="s">
        <v>2694</v>
      </c>
      <c r="I172" s="41">
        <v>107.77</v>
      </c>
      <c r="J172" s="41">
        <v>107.77</v>
      </c>
      <c r="K172" s="41">
        <v>5133.88</v>
      </c>
      <c r="L172" s="43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54">
        <v>45278</v>
      </c>
      <c r="C173" s="41">
        <v>20230010456</v>
      </c>
      <c r="D173" s="46" t="s">
        <v>2708</v>
      </c>
      <c r="E173" s="41" t="s">
        <v>2709</v>
      </c>
      <c r="F173" s="41"/>
      <c r="G173" s="41"/>
      <c r="H173" s="42" t="s">
        <v>2710</v>
      </c>
      <c r="I173" s="41">
        <v>107.77</v>
      </c>
      <c r="J173" s="41">
        <v>107.77</v>
      </c>
      <c r="K173" s="41">
        <v>5603.568</v>
      </c>
      <c r="L173" s="43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41" t="s">
        <v>1298</v>
      </c>
      <c r="C174" s="41">
        <v>20230000833</v>
      </c>
      <c r="D174" s="46" t="s">
        <v>2716</v>
      </c>
      <c r="E174" s="41" t="s">
        <v>2636</v>
      </c>
      <c r="F174" s="41"/>
      <c r="G174" s="41"/>
      <c r="H174" s="44" t="s">
        <v>2718</v>
      </c>
      <c r="I174" s="41">
        <v>108.14</v>
      </c>
      <c r="J174" s="41">
        <v>108.14</v>
      </c>
      <c r="K174" s="41">
        <v>5202.38</v>
      </c>
      <c r="L174" s="43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41" t="s">
        <v>2003</v>
      </c>
      <c r="C175" s="41">
        <v>20230003652</v>
      </c>
      <c r="D175" s="46" t="s">
        <v>2723</v>
      </c>
      <c r="E175" s="40" t="s">
        <v>2724</v>
      </c>
      <c r="F175" s="40"/>
      <c r="G175" s="40"/>
      <c r="H175" s="42" t="s">
        <v>2726</v>
      </c>
      <c r="I175" s="41">
        <v>107.77</v>
      </c>
      <c r="J175" s="41">
        <v>107.77</v>
      </c>
      <c r="K175" s="41">
        <v>5440</v>
      </c>
      <c r="L175" s="43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41" t="s">
        <v>1363</v>
      </c>
      <c r="C176" s="41">
        <v>20230001094</v>
      </c>
      <c r="D176" s="46" t="s">
        <v>2729</v>
      </c>
      <c r="E176" s="41" t="s">
        <v>2730</v>
      </c>
      <c r="F176" s="41"/>
      <c r="G176" s="41"/>
      <c r="H176" s="44" t="s">
        <v>2732</v>
      </c>
      <c r="I176" s="41">
        <v>108.14</v>
      </c>
      <c r="J176" s="41">
        <v>108.14</v>
      </c>
      <c r="K176" s="41">
        <v>5388</v>
      </c>
      <c r="L176" s="43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41" t="s">
        <v>1228</v>
      </c>
      <c r="C177" s="41">
        <v>20230001270</v>
      </c>
      <c r="D177" s="46" t="s">
        <v>2736</v>
      </c>
      <c r="E177" s="41" t="s">
        <v>2737</v>
      </c>
      <c r="F177" s="41"/>
      <c r="G177" s="41"/>
      <c r="H177" s="42" t="s">
        <v>2739</v>
      </c>
      <c r="I177" s="41">
        <v>107.77</v>
      </c>
      <c r="J177" s="41">
        <v>107.77</v>
      </c>
      <c r="K177" s="41">
        <v>5258.88</v>
      </c>
      <c r="L177" s="43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41" t="s">
        <v>2750</v>
      </c>
      <c r="C178" s="41">
        <v>20230000205</v>
      </c>
      <c r="D178" s="46" t="s">
        <v>2745</v>
      </c>
      <c r="E178" s="41" t="s">
        <v>2634</v>
      </c>
      <c r="F178" s="41"/>
      <c r="G178" s="41"/>
      <c r="H178" s="42" t="s">
        <v>2746</v>
      </c>
      <c r="I178" s="41">
        <v>108.14</v>
      </c>
      <c r="J178" s="41">
        <v>108.14</v>
      </c>
      <c r="K178" s="41">
        <v>5292.38</v>
      </c>
      <c r="L178" s="43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41" t="s">
        <v>1349</v>
      </c>
      <c r="C179" s="41">
        <v>20230004214</v>
      </c>
      <c r="D179" s="46" t="s">
        <v>6577</v>
      </c>
      <c r="E179" s="41" t="s">
        <v>2753</v>
      </c>
      <c r="F179" s="41"/>
      <c r="G179" s="41"/>
      <c r="H179" s="42" t="s">
        <v>2755</v>
      </c>
      <c r="I179" s="41">
        <v>107.77</v>
      </c>
      <c r="J179" s="41">
        <v>107.77</v>
      </c>
      <c r="K179" s="41">
        <v>5600</v>
      </c>
      <c r="L179" s="43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41" t="s">
        <v>1925</v>
      </c>
      <c r="C180" s="41">
        <v>20230003251</v>
      </c>
      <c r="D180" s="46" t="s">
        <v>2760</v>
      </c>
      <c r="E180" s="41" t="s">
        <v>2761</v>
      </c>
      <c r="F180" s="41"/>
      <c r="G180" s="41"/>
      <c r="H180" s="44" t="s">
        <v>2763</v>
      </c>
      <c r="I180" s="41">
        <v>108.14</v>
      </c>
      <c r="J180" s="41">
        <v>108.14</v>
      </c>
      <c r="K180" s="41">
        <v>5600</v>
      </c>
      <c r="L180" s="43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41" t="s">
        <v>994</v>
      </c>
      <c r="C181" s="41">
        <v>20230006106</v>
      </c>
      <c r="D181" s="1048" t="s">
        <v>2766</v>
      </c>
      <c r="E181" s="41" t="s">
        <v>2767</v>
      </c>
      <c r="F181" s="41"/>
      <c r="G181" s="41"/>
      <c r="H181" s="42" t="s">
        <v>2768</v>
      </c>
      <c r="I181" s="41">
        <v>107.77</v>
      </c>
      <c r="J181" s="41">
        <v>107.77</v>
      </c>
      <c r="K181" s="41">
        <v>5643.04</v>
      </c>
      <c r="L181" s="43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41">
        <v>2023.6</v>
      </c>
      <c r="C182" s="41">
        <v>20230005577</v>
      </c>
      <c r="D182" s="46" t="s">
        <v>6578</v>
      </c>
      <c r="E182" s="41" t="s">
        <v>6579</v>
      </c>
      <c r="F182" s="41"/>
      <c r="G182" s="41"/>
      <c r="H182" s="44" t="s">
        <v>2774</v>
      </c>
      <c r="I182" s="41">
        <v>108.14</v>
      </c>
      <c r="J182" s="41">
        <v>108.14</v>
      </c>
      <c r="K182" s="41">
        <v>5907.45</v>
      </c>
      <c r="L182" s="43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41" t="s">
        <v>1634</v>
      </c>
      <c r="C183" s="41">
        <v>20230004483</v>
      </c>
      <c r="D183" s="46" t="s">
        <v>2779</v>
      </c>
      <c r="E183" s="41" t="s">
        <v>2624</v>
      </c>
      <c r="F183" s="41"/>
      <c r="G183" s="41"/>
      <c r="H183" s="42" t="s">
        <v>2781</v>
      </c>
      <c r="I183" s="41">
        <v>107.77</v>
      </c>
      <c r="J183" s="41">
        <v>107.77</v>
      </c>
      <c r="K183" s="41">
        <v>5659.54</v>
      </c>
      <c r="L183" s="43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41" t="s">
        <v>513</v>
      </c>
      <c r="C184" s="41">
        <v>20230008382</v>
      </c>
      <c r="D184" s="55" t="s">
        <v>2785</v>
      </c>
      <c r="E184" s="40" t="s">
        <v>2786</v>
      </c>
      <c r="F184" s="40"/>
      <c r="G184" s="40"/>
      <c r="H184" s="44" t="s">
        <v>2788</v>
      </c>
      <c r="I184" s="41">
        <v>108.14</v>
      </c>
      <c r="J184" s="41">
        <v>108.14</v>
      </c>
      <c r="K184" s="41">
        <v>5918.27</v>
      </c>
      <c r="L184" s="43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41" t="s">
        <v>2797</v>
      </c>
      <c r="C185" s="41">
        <v>20230008584</v>
      </c>
      <c r="D185" s="46" t="s">
        <v>2792</v>
      </c>
      <c r="E185" s="41" t="s">
        <v>2793</v>
      </c>
      <c r="F185" s="41"/>
      <c r="G185" s="41"/>
      <c r="H185" s="42" t="s">
        <v>2795</v>
      </c>
      <c r="I185" s="41">
        <v>107.77</v>
      </c>
      <c r="J185" s="41">
        <v>107.77</v>
      </c>
      <c r="K185" s="41">
        <v>5993.8</v>
      </c>
      <c r="L185" s="43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54">
        <v>45317</v>
      </c>
      <c r="C186" s="51" t="s">
        <v>2799</v>
      </c>
      <c r="D186" s="46" t="s">
        <v>2800</v>
      </c>
      <c r="E186" s="49" t="s">
        <v>2801</v>
      </c>
      <c r="F186" s="49"/>
      <c r="G186" s="49"/>
      <c r="H186" s="44" t="s">
        <v>2803</v>
      </c>
      <c r="I186" s="41">
        <v>108.14</v>
      </c>
      <c r="J186" s="41">
        <v>108.14</v>
      </c>
      <c r="K186" s="41">
        <v>7000</v>
      </c>
      <c r="L186" s="43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41"/>
      <c r="C187" s="51" t="s">
        <v>6580</v>
      </c>
      <c r="D187" s="46"/>
      <c r="E187" s="52" t="s">
        <v>2812</v>
      </c>
      <c r="F187" s="52"/>
      <c r="G187" s="52"/>
      <c r="H187" s="42" t="s">
        <v>2813</v>
      </c>
      <c r="I187" s="41">
        <v>107.77</v>
      </c>
      <c r="J187" s="41">
        <v>107.77</v>
      </c>
      <c r="K187" s="41">
        <v>6900</v>
      </c>
      <c r="L187" s="43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54">
        <v>45455</v>
      </c>
      <c r="C188" s="51" t="s">
        <v>2817</v>
      </c>
      <c r="D188" s="46" t="s">
        <v>2818</v>
      </c>
      <c r="E188" s="52" t="s">
        <v>2819</v>
      </c>
      <c r="F188" s="52"/>
      <c r="G188" s="52"/>
      <c r="H188" s="44" t="s">
        <v>2821</v>
      </c>
      <c r="I188" s="41">
        <v>107.77</v>
      </c>
      <c r="J188" s="41">
        <v>107.77</v>
      </c>
      <c r="K188" s="41">
        <v>8095.03572422752</v>
      </c>
      <c r="L188" s="43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41" t="s">
        <v>1247</v>
      </c>
      <c r="C189" s="41">
        <v>20230001739</v>
      </c>
      <c r="D189" s="1047" t="s">
        <v>2846</v>
      </c>
      <c r="E189" s="40" t="s">
        <v>2647</v>
      </c>
      <c r="F189" s="40"/>
      <c r="G189" s="40"/>
      <c r="H189" s="44" t="s">
        <v>2847</v>
      </c>
      <c r="I189" s="41">
        <v>107.77</v>
      </c>
      <c r="J189" s="41">
        <v>107.77</v>
      </c>
      <c r="K189" s="41">
        <v>5261.13</v>
      </c>
      <c r="L189" s="43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41" t="s">
        <v>2758</v>
      </c>
      <c r="C190" s="51" t="s">
        <v>2851</v>
      </c>
      <c r="D190" s="46" t="s">
        <v>2852</v>
      </c>
      <c r="E190" s="49" t="s">
        <v>2853</v>
      </c>
      <c r="F190" s="49"/>
      <c r="G190" s="49"/>
      <c r="H190" s="42" t="s">
        <v>2855</v>
      </c>
      <c r="I190" s="41">
        <v>107.77</v>
      </c>
      <c r="J190" s="41">
        <v>107.77</v>
      </c>
      <c r="K190" s="41">
        <v>5296.9</v>
      </c>
      <c r="L190" s="43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41" t="s">
        <v>1559</v>
      </c>
      <c r="C191" s="51" t="s">
        <v>2861</v>
      </c>
      <c r="D191" s="46" t="s">
        <v>2862</v>
      </c>
      <c r="E191" s="52" t="s">
        <v>2863</v>
      </c>
      <c r="F191" s="52"/>
      <c r="G191" s="52"/>
      <c r="H191" s="42" t="s">
        <v>2865</v>
      </c>
      <c r="I191" s="41">
        <v>107.77</v>
      </c>
      <c r="J191" s="41">
        <v>107.77</v>
      </c>
      <c r="K191" s="41">
        <v>5350</v>
      </c>
      <c r="L191" s="43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41" t="s">
        <v>1228</v>
      </c>
      <c r="C192" s="41">
        <v>20230001355</v>
      </c>
      <c r="D192" s="46" t="s">
        <v>2872</v>
      </c>
      <c r="E192" s="52" t="s">
        <v>2873</v>
      </c>
      <c r="F192" s="52"/>
      <c r="G192" s="52"/>
      <c r="H192" s="42" t="s">
        <v>2875</v>
      </c>
      <c r="I192" s="41">
        <v>107.77</v>
      </c>
      <c r="J192" s="41">
        <v>107.77</v>
      </c>
      <c r="K192" s="41">
        <v>5175.58</v>
      </c>
      <c r="L192" s="43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41" t="s">
        <v>1228</v>
      </c>
      <c r="C193" s="51" t="s">
        <v>2881</v>
      </c>
      <c r="D193" s="46" t="s">
        <v>2882</v>
      </c>
      <c r="E193" s="52" t="s">
        <v>2883</v>
      </c>
      <c r="F193" s="52"/>
      <c r="G193" s="52"/>
      <c r="H193" s="44" t="s">
        <v>2884</v>
      </c>
      <c r="I193" s="41">
        <v>107.77</v>
      </c>
      <c r="J193" s="41">
        <v>107.77</v>
      </c>
      <c r="K193" s="41">
        <v>5350</v>
      </c>
      <c r="L193" s="43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41" t="s">
        <v>1769</v>
      </c>
      <c r="C194" s="51" t="s">
        <v>2888</v>
      </c>
      <c r="D194" s="46" t="s">
        <v>2889</v>
      </c>
      <c r="E194" s="49" t="s">
        <v>2890</v>
      </c>
      <c r="F194" s="49"/>
      <c r="G194" s="49"/>
      <c r="H194" s="42" t="s">
        <v>2892</v>
      </c>
      <c r="I194" s="41">
        <v>107.77</v>
      </c>
      <c r="J194" s="41">
        <v>107.77</v>
      </c>
      <c r="K194" s="41">
        <v>5225.58</v>
      </c>
      <c r="L194" s="43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41" t="s">
        <v>1259</v>
      </c>
      <c r="C195" s="51" t="s">
        <v>2899</v>
      </c>
      <c r="D195" s="55" t="s">
        <v>6581</v>
      </c>
      <c r="E195" s="52" t="s">
        <v>6582</v>
      </c>
      <c r="F195" s="52"/>
      <c r="G195" s="52"/>
      <c r="H195" s="44" t="s">
        <v>2903</v>
      </c>
      <c r="I195" s="41">
        <v>107.77</v>
      </c>
      <c r="J195" s="41">
        <v>107.77</v>
      </c>
      <c r="K195" s="41">
        <v>5264.88</v>
      </c>
      <c r="L195" s="43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41" t="s">
        <v>2579</v>
      </c>
      <c r="C196" s="51" t="s">
        <v>2908</v>
      </c>
      <c r="D196" s="46" t="s">
        <v>2909</v>
      </c>
      <c r="E196" s="49" t="s">
        <v>2910</v>
      </c>
      <c r="F196" s="49"/>
      <c r="G196" s="49"/>
      <c r="H196" s="42" t="s">
        <v>2912</v>
      </c>
      <c r="I196" s="41">
        <v>107.77</v>
      </c>
      <c r="J196" s="41">
        <v>107.77</v>
      </c>
      <c r="K196" s="41">
        <v>5270.58</v>
      </c>
      <c r="L196" s="43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41" t="s">
        <v>2924</v>
      </c>
      <c r="C197" s="41">
        <v>20230002570</v>
      </c>
      <c r="D197" s="50" t="s">
        <v>2918</v>
      </c>
      <c r="E197" s="52" t="s">
        <v>2919</v>
      </c>
      <c r="F197" s="52"/>
      <c r="G197" s="52"/>
      <c r="H197" s="44" t="s">
        <v>2921</v>
      </c>
      <c r="I197" s="41">
        <v>107.77</v>
      </c>
      <c r="J197" s="41">
        <v>107.77</v>
      </c>
      <c r="K197" s="41">
        <v>5625</v>
      </c>
      <c r="L197" s="43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41" t="s">
        <v>1324</v>
      </c>
      <c r="C198" s="41">
        <v>20230000856</v>
      </c>
      <c r="D198" s="55" t="s">
        <v>2926</v>
      </c>
      <c r="E198" s="40" t="s">
        <v>2927</v>
      </c>
      <c r="F198" s="40"/>
      <c r="G198" s="40"/>
      <c r="H198" s="42" t="s">
        <v>2929</v>
      </c>
      <c r="I198" s="41">
        <v>107.77</v>
      </c>
      <c r="J198" s="41">
        <v>107.77</v>
      </c>
      <c r="K198" s="41">
        <v>5315.58</v>
      </c>
      <c r="L198" s="43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41" t="s">
        <v>1228</v>
      </c>
      <c r="C199" s="51" t="s">
        <v>2934</v>
      </c>
      <c r="D199" s="46" t="s">
        <v>2935</v>
      </c>
      <c r="E199" s="52" t="s">
        <v>2936</v>
      </c>
      <c r="F199" s="52"/>
      <c r="G199" s="52"/>
      <c r="H199" s="44" t="s">
        <v>2937</v>
      </c>
      <c r="I199" s="41">
        <v>107.77</v>
      </c>
      <c r="J199" s="41">
        <v>107.77</v>
      </c>
      <c r="K199" s="41">
        <v>5390.51</v>
      </c>
      <c r="L199" s="43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41" t="s">
        <v>1228</v>
      </c>
      <c r="C200" s="51" t="s">
        <v>2942</v>
      </c>
      <c r="D200" s="1047" t="s">
        <v>2943</v>
      </c>
      <c r="E200" s="52" t="s">
        <v>2944</v>
      </c>
      <c r="F200" s="52"/>
      <c r="G200" s="52"/>
      <c r="H200" s="42" t="s">
        <v>2945</v>
      </c>
      <c r="I200" s="41">
        <v>107.77</v>
      </c>
      <c r="J200" s="41">
        <v>107.77</v>
      </c>
      <c r="K200" s="41">
        <v>5421.87</v>
      </c>
      <c r="L200" s="43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41" t="s">
        <v>2956</v>
      </c>
      <c r="C201" s="51" t="s">
        <v>2950</v>
      </c>
      <c r="D201" s="46" t="s">
        <v>2951</v>
      </c>
      <c r="E201" s="52" t="s">
        <v>2645</v>
      </c>
      <c r="F201" s="52"/>
      <c r="G201" s="52"/>
      <c r="H201" s="44" t="s">
        <v>2953</v>
      </c>
      <c r="I201" s="41">
        <v>107.77</v>
      </c>
      <c r="J201" s="41">
        <v>107.77</v>
      </c>
      <c r="K201" s="41">
        <v>5688.23</v>
      </c>
      <c r="L201" s="43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41" t="s">
        <v>2783</v>
      </c>
      <c r="C202" s="41">
        <v>20230002599</v>
      </c>
      <c r="D202" s="56" t="s">
        <v>6583</v>
      </c>
      <c r="E202" s="52" t="s">
        <v>2960</v>
      </c>
      <c r="F202" s="52"/>
      <c r="G202" s="52"/>
      <c r="H202" s="42" t="s">
        <v>2962</v>
      </c>
      <c r="I202" s="41">
        <v>107.77</v>
      </c>
      <c r="J202" s="41">
        <v>107.77</v>
      </c>
      <c r="K202" s="41">
        <v>5694.3</v>
      </c>
      <c r="L202" s="43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41" t="s">
        <v>1769</v>
      </c>
      <c r="C203" s="41">
        <v>20230000302</v>
      </c>
      <c r="D203" s="46" t="s">
        <v>6584</v>
      </c>
      <c r="E203" s="52" t="s">
        <v>6585</v>
      </c>
      <c r="F203" s="52"/>
      <c r="G203" s="52"/>
      <c r="H203" s="42" t="s">
        <v>2970</v>
      </c>
      <c r="I203" s="41">
        <v>107.77</v>
      </c>
      <c r="J203" s="41">
        <v>107.77</v>
      </c>
      <c r="K203" s="41">
        <v>5399.88</v>
      </c>
      <c r="L203" s="43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41" t="s">
        <v>2456</v>
      </c>
      <c r="C204" s="51" t="s">
        <v>2976</v>
      </c>
      <c r="D204" s="46" t="s">
        <v>2977</v>
      </c>
      <c r="E204" s="41" t="s">
        <v>2978</v>
      </c>
      <c r="F204" s="41"/>
      <c r="G204" s="41"/>
      <c r="H204" s="42" t="s">
        <v>2980</v>
      </c>
      <c r="I204" s="41">
        <v>107.77</v>
      </c>
      <c r="J204" s="41">
        <v>107.77</v>
      </c>
      <c r="K204" s="41">
        <v>5975.28</v>
      </c>
      <c r="L204" s="43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54">
        <v>45397</v>
      </c>
      <c r="C205" s="51" t="s">
        <v>2984</v>
      </c>
      <c r="D205" s="46" t="s">
        <v>2985</v>
      </c>
      <c r="E205" s="52" t="s">
        <v>2986</v>
      </c>
      <c r="F205" s="52"/>
      <c r="G205" s="52"/>
      <c r="H205" s="42" t="s">
        <v>2988</v>
      </c>
      <c r="I205" s="41">
        <v>107.77</v>
      </c>
      <c r="J205" s="41">
        <v>107.77</v>
      </c>
      <c r="K205" s="41">
        <v>7025</v>
      </c>
      <c r="L205" s="48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41"/>
      <c r="C206" s="51" t="s">
        <v>6580</v>
      </c>
      <c r="D206" s="46"/>
      <c r="E206" s="52" t="s">
        <v>2995</v>
      </c>
      <c r="F206" s="52"/>
      <c r="G206" s="52"/>
      <c r="H206" s="42" t="s">
        <v>2996</v>
      </c>
      <c r="I206" s="41">
        <v>107.77</v>
      </c>
      <c r="J206" s="41">
        <v>107.77</v>
      </c>
      <c r="K206" s="41">
        <v>7410.47601373295</v>
      </c>
      <c r="L206" s="48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41" t="s">
        <v>3027</v>
      </c>
      <c r="C207" s="51" t="s">
        <v>3019</v>
      </c>
      <c r="D207" s="46" t="s">
        <v>3020</v>
      </c>
      <c r="E207" s="41" t="s">
        <v>3021</v>
      </c>
      <c r="F207" s="41"/>
      <c r="G207" s="41"/>
      <c r="H207" s="44" t="s">
        <v>3023</v>
      </c>
      <c r="I207" s="41">
        <v>107.77</v>
      </c>
      <c r="J207" s="41">
        <v>107.77</v>
      </c>
      <c r="K207" s="41">
        <v>5349.29</v>
      </c>
      <c r="L207" s="48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41" t="s">
        <v>1952</v>
      </c>
      <c r="C208" s="51" t="s">
        <v>3029</v>
      </c>
      <c r="D208" s="46" t="s">
        <v>3030</v>
      </c>
      <c r="E208" s="52" t="s">
        <v>3031</v>
      </c>
      <c r="F208" s="52"/>
      <c r="G208" s="52"/>
      <c r="H208" s="42" t="s">
        <v>3033</v>
      </c>
      <c r="I208" s="41">
        <v>108.14</v>
      </c>
      <c r="J208" s="41">
        <v>108.14</v>
      </c>
      <c r="K208" s="41">
        <v>5300</v>
      </c>
      <c r="L208" s="48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41" t="s">
        <v>1760</v>
      </c>
      <c r="C209" s="51" t="s">
        <v>3037</v>
      </c>
      <c r="D209" s="46" t="s">
        <v>3038</v>
      </c>
      <c r="E209" s="41" t="s">
        <v>3039</v>
      </c>
      <c r="F209" s="41"/>
      <c r="G209" s="41"/>
      <c r="H209" s="44" t="s">
        <v>3041</v>
      </c>
      <c r="I209" s="41">
        <v>107.77</v>
      </c>
      <c r="J209" s="41">
        <v>107.77</v>
      </c>
      <c r="K209" s="41">
        <v>5380.3</v>
      </c>
      <c r="L209" s="48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41" t="s">
        <v>1409</v>
      </c>
      <c r="C210" s="51" t="s">
        <v>3045</v>
      </c>
      <c r="D210" s="46" t="s">
        <v>6586</v>
      </c>
      <c r="E210" s="41" t="s">
        <v>6587</v>
      </c>
      <c r="F210" s="41"/>
      <c r="G210" s="41"/>
      <c r="H210" s="42" t="s">
        <v>3049</v>
      </c>
      <c r="I210" s="41">
        <v>108.14</v>
      </c>
      <c r="J210" s="41">
        <v>108.14</v>
      </c>
      <c r="K210" s="41">
        <v>5350</v>
      </c>
      <c r="L210" s="48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41" t="s">
        <v>1324</v>
      </c>
      <c r="C211" s="51" t="s">
        <v>3052</v>
      </c>
      <c r="D211" s="46" t="s">
        <v>6588</v>
      </c>
      <c r="E211" s="40" t="s">
        <v>6589</v>
      </c>
      <c r="F211" s="40"/>
      <c r="G211" s="40"/>
      <c r="H211" s="44" t="s">
        <v>3056</v>
      </c>
      <c r="I211" s="41">
        <v>107.77</v>
      </c>
      <c r="J211" s="41">
        <v>107.77</v>
      </c>
      <c r="K211" s="41">
        <v>5231.88</v>
      </c>
      <c r="L211" s="48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41" t="s">
        <v>3069</v>
      </c>
      <c r="C212" s="51" t="s">
        <v>3061</v>
      </c>
      <c r="D212" s="46" t="s">
        <v>3062</v>
      </c>
      <c r="E212" s="40" t="s">
        <v>3063</v>
      </c>
      <c r="F212" s="40"/>
      <c r="G212" s="40"/>
      <c r="H212" s="42" t="s">
        <v>3065</v>
      </c>
      <c r="I212" s="41">
        <v>108.14</v>
      </c>
      <c r="J212" s="41">
        <v>108.14</v>
      </c>
      <c r="K212" s="41">
        <v>5230.38</v>
      </c>
      <c r="L212" s="48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41" t="s">
        <v>808</v>
      </c>
      <c r="C213" s="51" t="s">
        <v>3071</v>
      </c>
      <c r="D213" s="46" t="s">
        <v>3072</v>
      </c>
      <c r="E213" s="41" t="s">
        <v>3073</v>
      </c>
      <c r="F213" s="41"/>
      <c r="G213" s="41"/>
      <c r="H213" s="42" t="s">
        <v>3075</v>
      </c>
      <c r="I213" s="41">
        <v>107.77</v>
      </c>
      <c r="J213" s="41">
        <v>107.77</v>
      </c>
      <c r="K213" s="41">
        <v>5276.88</v>
      </c>
      <c r="L213" s="48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41" t="s">
        <v>1259</v>
      </c>
      <c r="C214" s="51" t="s">
        <v>3080</v>
      </c>
      <c r="D214" s="46" t="s">
        <v>6590</v>
      </c>
      <c r="E214" s="41" t="s">
        <v>3082</v>
      </c>
      <c r="F214" s="41"/>
      <c r="G214" s="41"/>
      <c r="H214" s="42" t="s">
        <v>3083</v>
      </c>
      <c r="I214" s="41">
        <v>108.14</v>
      </c>
      <c r="J214" s="41">
        <v>108.14</v>
      </c>
      <c r="K214" s="41">
        <v>5275.38</v>
      </c>
      <c r="L214" s="48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41" t="s">
        <v>1363</v>
      </c>
      <c r="C215" s="51" t="s">
        <v>3089</v>
      </c>
      <c r="D215" s="46" t="s">
        <v>3090</v>
      </c>
      <c r="E215" s="41" t="s">
        <v>3091</v>
      </c>
      <c r="F215" s="41"/>
      <c r="G215" s="41"/>
      <c r="H215" s="42" t="s">
        <v>3093</v>
      </c>
      <c r="I215" s="41">
        <v>107.77</v>
      </c>
      <c r="J215" s="41">
        <v>107.77</v>
      </c>
      <c r="K215" s="41">
        <v>5321.88</v>
      </c>
      <c r="L215" s="48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41" t="s">
        <v>1259</v>
      </c>
      <c r="C216" s="51" t="s">
        <v>3099</v>
      </c>
      <c r="D216" s="46" t="s">
        <v>853</v>
      </c>
      <c r="E216" s="40" t="s">
        <v>854</v>
      </c>
      <c r="F216" s="40"/>
      <c r="G216" s="40"/>
      <c r="H216" s="42" t="s">
        <v>3101</v>
      </c>
      <c r="I216" s="41">
        <v>108.14</v>
      </c>
      <c r="J216" s="41">
        <v>108.14</v>
      </c>
      <c r="K216" s="41">
        <v>5320.38</v>
      </c>
      <c r="L216" s="48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41" t="s">
        <v>2218</v>
      </c>
      <c r="C217" s="51" t="s">
        <v>3107</v>
      </c>
      <c r="D217" s="46" t="s">
        <v>3108</v>
      </c>
      <c r="E217" s="41" t="s">
        <v>3109</v>
      </c>
      <c r="F217" s="41"/>
      <c r="G217" s="41"/>
      <c r="H217" s="44" t="s">
        <v>3111</v>
      </c>
      <c r="I217" s="41">
        <v>107.77</v>
      </c>
      <c r="J217" s="41">
        <v>107.77</v>
      </c>
      <c r="K217" s="41">
        <v>5631.64</v>
      </c>
      <c r="L217" s="48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41" t="s">
        <v>1228</v>
      </c>
      <c r="C218" s="51" t="s">
        <v>3115</v>
      </c>
      <c r="D218" s="46" t="s">
        <v>3116</v>
      </c>
      <c r="E218" s="41" t="s">
        <v>3117</v>
      </c>
      <c r="F218" s="41"/>
      <c r="G218" s="41"/>
      <c r="H218" s="42" t="s">
        <v>3119</v>
      </c>
      <c r="I218" s="41">
        <v>108.14</v>
      </c>
      <c r="J218" s="41">
        <v>108.14</v>
      </c>
      <c r="K218" s="41">
        <v>5345.38</v>
      </c>
      <c r="L218" s="48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41" t="s">
        <v>1596</v>
      </c>
      <c r="C219" s="51" t="s">
        <v>3125</v>
      </c>
      <c r="D219" s="46" t="s">
        <v>3126</v>
      </c>
      <c r="E219" s="41" t="s">
        <v>2649</v>
      </c>
      <c r="F219" s="41"/>
      <c r="G219" s="41"/>
      <c r="H219" s="44" t="s">
        <v>3128</v>
      </c>
      <c r="I219" s="41">
        <v>107.77</v>
      </c>
      <c r="J219" s="41">
        <v>107.77</v>
      </c>
      <c r="K219" s="41">
        <v>5668.618</v>
      </c>
      <c r="L219" s="48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41" t="s">
        <v>1509</v>
      </c>
      <c r="C220" s="51" t="s">
        <v>3133</v>
      </c>
      <c r="D220" s="46" t="s">
        <v>6591</v>
      </c>
      <c r="E220" s="41" t="s">
        <v>3135</v>
      </c>
      <c r="F220" s="41"/>
      <c r="G220" s="41"/>
      <c r="H220" s="42" t="s">
        <v>3137</v>
      </c>
      <c r="I220" s="41">
        <v>108.14</v>
      </c>
      <c r="J220" s="41">
        <v>108.14</v>
      </c>
      <c r="K220" s="41">
        <v>5676.54</v>
      </c>
      <c r="L220" s="48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41" t="s">
        <v>1882</v>
      </c>
      <c r="C221" s="51" t="s">
        <v>3142</v>
      </c>
      <c r="D221" s="1048" t="s">
        <v>3143</v>
      </c>
      <c r="E221" s="52" t="s">
        <v>3144</v>
      </c>
      <c r="F221" s="52"/>
      <c r="G221" s="52"/>
      <c r="H221" s="44" t="s">
        <v>3145</v>
      </c>
      <c r="I221" s="41">
        <v>107.77</v>
      </c>
      <c r="J221" s="41">
        <v>107.77</v>
      </c>
      <c r="K221" s="41">
        <v>5960</v>
      </c>
      <c r="L221" s="48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41" t="s">
        <v>1971</v>
      </c>
      <c r="C222" s="51" t="s">
        <v>3148</v>
      </c>
      <c r="D222" s="46" t="s">
        <v>3149</v>
      </c>
      <c r="E222" s="41" t="s">
        <v>3150</v>
      </c>
      <c r="F222" s="41"/>
      <c r="G222" s="41"/>
      <c r="H222" s="42" t="s">
        <v>3152</v>
      </c>
      <c r="I222" s="41">
        <v>108.14</v>
      </c>
      <c r="J222" s="41">
        <v>108.14</v>
      </c>
      <c r="K222" s="41">
        <v>5960</v>
      </c>
      <c r="L222" s="48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54">
        <v>45534</v>
      </c>
      <c r="C223" s="51" t="s">
        <v>3155</v>
      </c>
      <c r="D223" s="46" t="s">
        <v>3156</v>
      </c>
      <c r="E223" s="41" t="s">
        <v>2631</v>
      </c>
      <c r="F223" s="41"/>
      <c r="G223" s="41"/>
      <c r="H223" s="44" t="s">
        <v>3158</v>
      </c>
      <c r="I223" s="41">
        <v>107.77</v>
      </c>
      <c r="J223" s="41">
        <v>107.77</v>
      </c>
      <c r="K223" s="41">
        <v>7155.47</v>
      </c>
      <c r="L223" s="60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41" t="s">
        <v>597</v>
      </c>
      <c r="C224" s="51" t="s">
        <v>3161</v>
      </c>
      <c r="D224" s="1047" t="s">
        <v>3162</v>
      </c>
      <c r="E224" s="40" t="s">
        <v>3163</v>
      </c>
      <c r="F224" s="40"/>
      <c r="G224" s="40"/>
      <c r="H224" s="42" t="s">
        <v>3165</v>
      </c>
      <c r="I224" s="41">
        <v>108.14</v>
      </c>
      <c r="J224" s="41">
        <v>108.14</v>
      </c>
      <c r="K224" s="41">
        <v>6973.51</v>
      </c>
      <c r="L224" s="48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1:15">
      <c r="B225" s="41"/>
      <c r="C225" s="51"/>
      <c r="D225" s="41"/>
      <c r="E225" s="40"/>
      <c r="F225" s="40"/>
      <c r="G225" s="61"/>
      <c r="H225" s="42"/>
      <c r="I225" s="41"/>
      <c r="J225" s="41"/>
      <c r="K225" s="41"/>
      <c r="L225" s="48">
        <f>SUM(L3:L224)</f>
        <v>151024981</v>
      </c>
    </row>
    <row r="226" customHeight="1" spans="1:15">
      <c r="A226" s="31">
        <v>1</v>
      </c>
      <c r="B226" s="54">
        <v>45401</v>
      </c>
      <c r="C226" s="41">
        <v>20240002187</v>
      </c>
      <c r="D226" s="46" t="s">
        <v>263</v>
      </c>
      <c r="E226" s="40" t="s">
        <v>264</v>
      </c>
      <c r="F226" s="40"/>
      <c r="G226" s="62">
        <v>13</v>
      </c>
      <c r="H226" s="46" t="s">
        <v>254</v>
      </c>
      <c r="I226" s="46" t="s">
        <v>265</v>
      </c>
      <c r="J226" s="41">
        <v>68.42</v>
      </c>
      <c r="K226" s="41">
        <v>22700</v>
      </c>
      <c r="L226" s="43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41" t="s">
        <v>286</v>
      </c>
      <c r="C227" s="41">
        <v>20230010576</v>
      </c>
      <c r="D227" s="46" t="s">
        <v>280</v>
      </c>
      <c r="E227" s="41" t="s">
        <v>281</v>
      </c>
      <c r="F227" s="41"/>
      <c r="G227" s="62"/>
      <c r="H227" s="46" t="s">
        <v>254</v>
      </c>
      <c r="I227" s="46" t="s">
        <v>282</v>
      </c>
      <c r="J227" s="41">
        <v>68.42</v>
      </c>
      <c r="K227" s="41">
        <v>21800</v>
      </c>
      <c r="L227" s="43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41" t="s">
        <v>296</v>
      </c>
      <c r="C228" s="41">
        <v>20240002029</v>
      </c>
      <c r="D228" s="46" t="s">
        <v>290</v>
      </c>
      <c r="E228" s="40" t="s">
        <v>291</v>
      </c>
      <c r="F228" s="40"/>
      <c r="G228" s="62"/>
      <c r="H228" s="46" t="s">
        <v>254</v>
      </c>
      <c r="I228" s="46" t="s">
        <v>292</v>
      </c>
      <c r="J228" s="41">
        <v>68.42</v>
      </c>
      <c r="K228" s="41">
        <v>21967.26</v>
      </c>
      <c r="L228" s="43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41" t="s">
        <v>306</v>
      </c>
      <c r="C229" s="41">
        <v>20230010242</v>
      </c>
      <c r="D229" s="46" t="s">
        <v>299</v>
      </c>
      <c r="E229" s="40" t="s">
        <v>300</v>
      </c>
      <c r="F229" s="40"/>
      <c r="G229" s="62"/>
      <c r="H229" s="46" t="s">
        <v>254</v>
      </c>
      <c r="I229" s="46" t="s">
        <v>301</v>
      </c>
      <c r="J229" s="41">
        <v>68.42</v>
      </c>
      <c r="K229" s="41">
        <v>22500</v>
      </c>
      <c r="L229" s="43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54">
        <v>45200</v>
      </c>
      <c r="C230" s="41">
        <v>20230008432</v>
      </c>
      <c r="D230" s="46" t="s">
        <v>308</v>
      </c>
      <c r="E230" s="40" t="s">
        <v>309</v>
      </c>
      <c r="F230" s="40"/>
      <c r="G230" s="62"/>
      <c r="H230" s="46" t="s">
        <v>254</v>
      </c>
      <c r="I230" s="46" t="s">
        <v>310</v>
      </c>
      <c r="J230" s="41">
        <v>68.42</v>
      </c>
      <c r="K230" s="41">
        <v>22960.42</v>
      </c>
      <c r="L230" s="43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41" t="s">
        <v>323</v>
      </c>
      <c r="C231" s="41">
        <v>20230009415</v>
      </c>
      <c r="D231" s="46" t="s">
        <v>317</v>
      </c>
      <c r="E231" s="63" t="s">
        <v>318</v>
      </c>
      <c r="F231" s="63"/>
      <c r="G231" s="62"/>
      <c r="H231" s="46" t="s">
        <v>254</v>
      </c>
      <c r="I231" s="46" t="s">
        <v>319</v>
      </c>
      <c r="J231" s="41">
        <v>68.42</v>
      </c>
      <c r="K231" s="41">
        <v>23165.74</v>
      </c>
      <c r="L231" s="43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41" t="s">
        <v>333</v>
      </c>
      <c r="C232" s="41">
        <v>20230010496</v>
      </c>
      <c r="D232" s="46" t="s">
        <v>326</v>
      </c>
      <c r="E232" s="63" t="s">
        <v>327</v>
      </c>
      <c r="F232" s="63"/>
      <c r="G232" s="62"/>
      <c r="H232" s="46" t="s">
        <v>254</v>
      </c>
      <c r="I232" s="46" t="s">
        <v>403</v>
      </c>
      <c r="J232" s="41">
        <v>68.42</v>
      </c>
      <c r="K232" s="41">
        <v>23346.77</v>
      </c>
      <c r="L232" s="43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41" t="s">
        <v>6592</v>
      </c>
      <c r="C233" s="41">
        <v>20230008488</v>
      </c>
      <c r="D233" s="46" t="s">
        <v>336</v>
      </c>
      <c r="E233" s="40" t="s">
        <v>337</v>
      </c>
      <c r="F233" s="40"/>
      <c r="G233" s="62"/>
      <c r="H233" s="46" t="s">
        <v>254</v>
      </c>
      <c r="I233" s="46">
        <v>10</v>
      </c>
      <c r="J233" s="41">
        <v>68.42</v>
      </c>
      <c r="K233" s="41">
        <v>23830.765</v>
      </c>
      <c r="L233" s="43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54">
        <v>45201</v>
      </c>
      <c r="C234" s="41">
        <v>20230008484</v>
      </c>
      <c r="D234" s="55" t="s">
        <v>345</v>
      </c>
      <c r="E234" s="40" t="s">
        <v>346</v>
      </c>
      <c r="F234" s="40"/>
      <c r="G234" s="62"/>
      <c r="H234" s="46" t="s">
        <v>254</v>
      </c>
      <c r="I234" s="46">
        <v>11</v>
      </c>
      <c r="J234" s="41">
        <v>98.74</v>
      </c>
      <c r="K234" s="41">
        <v>23801.69</v>
      </c>
      <c r="L234" s="43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41" t="s">
        <v>6592</v>
      </c>
      <c r="C235" s="41">
        <v>20230008510</v>
      </c>
      <c r="D235" s="46" t="s">
        <v>350</v>
      </c>
      <c r="E235" s="40" t="s">
        <v>351</v>
      </c>
      <c r="F235" s="40"/>
      <c r="G235" s="62"/>
      <c r="H235" s="46" t="s">
        <v>254</v>
      </c>
      <c r="I235" s="46">
        <v>12</v>
      </c>
      <c r="J235" s="41">
        <v>146.3</v>
      </c>
      <c r="K235" s="41">
        <v>26000</v>
      </c>
      <c r="L235" s="43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41" t="s">
        <v>365</v>
      </c>
      <c r="C236" s="41">
        <v>2024000115</v>
      </c>
      <c r="D236" s="46" t="s">
        <v>359</v>
      </c>
      <c r="E236" s="64" t="s">
        <v>360</v>
      </c>
      <c r="F236" s="64"/>
      <c r="G236" s="62"/>
      <c r="H236" s="46" t="s">
        <v>361</v>
      </c>
      <c r="I236" s="46" t="s">
        <v>255</v>
      </c>
      <c r="J236" s="41">
        <v>85.66</v>
      </c>
      <c r="K236" s="41">
        <v>9777</v>
      </c>
      <c r="L236" s="43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41" t="s">
        <v>365</v>
      </c>
      <c r="C237" s="41">
        <v>2024000116</v>
      </c>
      <c r="D237" s="46" t="s">
        <v>359</v>
      </c>
      <c r="E237" s="64" t="s">
        <v>360</v>
      </c>
      <c r="F237" s="64"/>
      <c r="G237" s="62"/>
      <c r="H237" s="46" t="s">
        <v>361</v>
      </c>
      <c r="I237" s="46" t="s">
        <v>265</v>
      </c>
      <c r="J237" s="41">
        <v>85.66</v>
      </c>
      <c r="K237" s="41">
        <v>9777</v>
      </c>
      <c r="L237" s="43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54">
        <v>45524</v>
      </c>
      <c r="C238" s="41">
        <v>20240004769</v>
      </c>
      <c r="D238" s="55" t="s">
        <v>424</v>
      </c>
      <c r="E238" s="40" t="s">
        <v>425</v>
      </c>
      <c r="F238" s="40"/>
      <c r="G238" s="62">
        <v>14</v>
      </c>
      <c r="H238" s="41" t="s">
        <v>254</v>
      </c>
      <c r="I238" s="41">
        <v>1</v>
      </c>
      <c r="J238" s="41">
        <v>106.72</v>
      </c>
      <c r="K238" s="41">
        <v>26567.6536731634</v>
      </c>
      <c r="L238" s="43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54">
        <v>45398</v>
      </c>
      <c r="C239" s="41">
        <v>20240002095</v>
      </c>
      <c r="D239" s="46" t="s">
        <v>433</v>
      </c>
      <c r="E239" s="40" t="s">
        <v>434</v>
      </c>
      <c r="F239" s="40"/>
      <c r="G239" s="62"/>
      <c r="H239" s="41" t="s">
        <v>254</v>
      </c>
      <c r="I239" s="41">
        <v>2</v>
      </c>
      <c r="J239" s="41">
        <v>103.64</v>
      </c>
      <c r="K239" s="41">
        <v>23962.4662292551</v>
      </c>
      <c r="L239" s="43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54">
        <v>45202</v>
      </c>
      <c r="C240" s="1047" t="s">
        <v>6593</v>
      </c>
      <c r="D240" s="1048" t="s">
        <v>442</v>
      </c>
      <c r="E240" s="40" t="s">
        <v>6594</v>
      </c>
      <c r="F240" s="40"/>
      <c r="G240" s="62"/>
      <c r="H240" s="41" t="s">
        <v>254</v>
      </c>
      <c r="I240" s="41">
        <v>3</v>
      </c>
      <c r="J240" s="41">
        <v>68.28</v>
      </c>
      <c r="K240" s="41">
        <v>23929.6280023433</v>
      </c>
      <c r="L240" s="43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54">
        <v>45198</v>
      </c>
      <c r="C241" s="41">
        <v>20230008210</v>
      </c>
      <c r="D241" s="46" t="s">
        <v>450</v>
      </c>
      <c r="E241" s="40" t="s">
        <v>451</v>
      </c>
      <c r="F241" s="40"/>
      <c r="G241" s="62"/>
      <c r="H241" s="41" t="s">
        <v>254</v>
      </c>
      <c r="I241" s="41">
        <v>4</v>
      </c>
      <c r="J241" s="41">
        <v>68.28</v>
      </c>
      <c r="K241" s="41">
        <v>23428.405</v>
      </c>
      <c r="L241" s="43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54">
        <v>45204</v>
      </c>
      <c r="C242" s="41">
        <v>20230008684</v>
      </c>
      <c r="D242" s="46" t="s">
        <v>460</v>
      </c>
      <c r="E242" s="64" t="s">
        <v>461</v>
      </c>
      <c r="F242" s="64"/>
      <c r="G242" s="62"/>
      <c r="H242" s="41" t="s">
        <v>254</v>
      </c>
      <c r="I242" s="41">
        <v>5</v>
      </c>
      <c r="J242" s="41">
        <v>68.28</v>
      </c>
      <c r="K242" s="41">
        <v>23333.77</v>
      </c>
      <c r="L242" s="43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41" t="s">
        <v>471</v>
      </c>
      <c r="C243" s="41">
        <v>20230008648</v>
      </c>
      <c r="D243" s="46" t="s">
        <v>467</v>
      </c>
      <c r="E243" s="40" t="s">
        <v>6595</v>
      </c>
      <c r="F243" s="40"/>
      <c r="G243" s="62"/>
      <c r="H243" s="41" t="s">
        <v>254</v>
      </c>
      <c r="I243" s="41">
        <v>6</v>
      </c>
      <c r="J243" s="41">
        <v>60.15</v>
      </c>
      <c r="K243" s="41">
        <v>23000</v>
      </c>
      <c r="L243" s="43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54">
        <v>45370</v>
      </c>
      <c r="C244" s="41">
        <v>20240001485</v>
      </c>
      <c r="D244" s="46" t="s">
        <v>475</v>
      </c>
      <c r="E244" s="40" t="s">
        <v>476</v>
      </c>
      <c r="F244" s="40"/>
      <c r="G244" s="62"/>
      <c r="H244" s="41" t="s">
        <v>254</v>
      </c>
      <c r="I244" s="41">
        <v>7</v>
      </c>
      <c r="J244" s="41">
        <v>71.53</v>
      </c>
      <c r="K244" s="41">
        <v>23600</v>
      </c>
      <c r="L244" s="43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54">
        <v>45204</v>
      </c>
      <c r="C245" s="41">
        <v>20230008670</v>
      </c>
      <c r="D245" s="46" t="s">
        <v>485</v>
      </c>
      <c r="E245" s="65" t="s">
        <v>486</v>
      </c>
      <c r="F245" s="65"/>
      <c r="G245" s="62"/>
      <c r="H245" s="41" t="s">
        <v>254</v>
      </c>
      <c r="I245" s="41">
        <v>8</v>
      </c>
      <c r="J245" s="41">
        <v>68.28</v>
      </c>
      <c r="K245" s="41">
        <v>24000</v>
      </c>
      <c r="L245" s="43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41"/>
      <c r="C246" s="41" t="s">
        <v>6500</v>
      </c>
      <c r="D246" s="46" t="s">
        <v>499</v>
      </c>
      <c r="E246" s="66" t="s">
        <v>6596</v>
      </c>
      <c r="F246" s="66"/>
      <c r="G246" s="62"/>
      <c r="H246" s="41" t="s">
        <v>254</v>
      </c>
      <c r="I246" s="41">
        <v>10</v>
      </c>
      <c r="J246" s="41">
        <v>206.2</v>
      </c>
      <c r="K246" s="41">
        <v>26000</v>
      </c>
      <c r="L246" s="43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54">
        <v>45527</v>
      </c>
      <c r="C247" s="41">
        <v>20240004826</v>
      </c>
      <c r="D247" s="46"/>
      <c r="E247" s="41" t="s">
        <v>510</v>
      </c>
      <c r="F247" s="41"/>
      <c r="G247" s="62"/>
      <c r="H247" s="41" t="s">
        <v>254</v>
      </c>
      <c r="I247" s="41">
        <v>11</v>
      </c>
      <c r="J247" s="41">
        <v>178.05</v>
      </c>
      <c r="K247" s="41">
        <f>L247/J247</f>
        <v>25835.4394832912</v>
      </c>
      <c r="L247" s="43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41" t="s">
        <v>2797</v>
      </c>
      <c r="C248" s="41">
        <v>20230008587</v>
      </c>
      <c r="D248" s="46" t="s">
        <v>518</v>
      </c>
      <c r="E248" s="66" t="s">
        <v>519</v>
      </c>
      <c r="F248" s="66"/>
      <c r="G248" s="62"/>
      <c r="H248" s="41" t="s">
        <v>254</v>
      </c>
      <c r="I248" s="41">
        <v>12</v>
      </c>
      <c r="J248" s="41">
        <v>63.93</v>
      </c>
      <c r="K248" s="41">
        <v>20000</v>
      </c>
      <c r="L248" s="43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54">
        <v>45201</v>
      </c>
      <c r="C249" s="41">
        <v>20230008471</v>
      </c>
      <c r="D249" s="46" t="s">
        <v>529</v>
      </c>
      <c r="E249" s="64" t="s">
        <v>530</v>
      </c>
      <c r="F249" s="64"/>
      <c r="G249" s="62"/>
      <c r="H249" s="41" t="s">
        <v>254</v>
      </c>
      <c r="I249" s="41">
        <v>13</v>
      </c>
      <c r="J249" s="41">
        <v>63.93</v>
      </c>
      <c r="K249" s="41">
        <v>20027.58</v>
      </c>
      <c r="L249" s="43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41"/>
      <c r="C250" s="41" t="s">
        <v>6500</v>
      </c>
      <c r="D250" s="46" t="s">
        <v>543</v>
      </c>
      <c r="E250" s="40" t="s">
        <v>6597</v>
      </c>
      <c r="F250" s="40"/>
      <c r="G250" s="62"/>
      <c r="H250" s="41" t="s">
        <v>254</v>
      </c>
      <c r="I250" s="41">
        <v>15</v>
      </c>
      <c r="J250" s="41">
        <v>67.42</v>
      </c>
      <c r="K250" s="41">
        <v>17686.07</v>
      </c>
      <c r="L250" s="43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41" t="s">
        <v>555</v>
      </c>
      <c r="C251" s="41">
        <v>20240001898</v>
      </c>
      <c r="D251" s="46" t="s">
        <v>551</v>
      </c>
      <c r="E251" s="41" t="s">
        <v>552</v>
      </c>
      <c r="F251" s="41"/>
      <c r="G251" s="62"/>
      <c r="H251" s="41" t="s">
        <v>254</v>
      </c>
      <c r="I251" s="41">
        <v>16</v>
      </c>
      <c r="J251" s="41">
        <v>110.21</v>
      </c>
      <c r="K251" s="41">
        <v>17100</v>
      </c>
      <c r="L251" s="43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54">
        <v>45203</v>
      </c>
      <c r="C252" s="41">
        <v>20230008599</v>
      </c>
      <c r="D252" s="46" t="s">
        <v>558</v>
      </c>
      <c r="E252" s="41" t="s">
        <v>559</v>
      </c>
      <c r="F252" s="41"/>
      <c r="G252" s="62"/>
      <c r="H252" s="41" t="s">
        <v>254</v>
      </c>
      <c r="I252" s="41">
        <v>17</v>
      </c>
      <c r="J252" s="41">
        <v>50.88</v>
      </c>
      <c r="K252" s="41">
        <v>17965.24</v>
      </c>
      <c r="L252" s="43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54">
        <v>45203</v>
      </c>
      <c r="C253" s="41">
        <v>20230008608</v>
      </c>
      <c r="D253" s="46" t="s">
        <v>563</v>
      </c>
      <c r="E253" s="41" t="s">
        <v>564</v>
      </c>
      <c r="F253" s="41"/>
      <c r="G253" s="62"/>
      <c r="H253" s="41" t="s">
        <v>254</v>
      </c>
      <c r="I253" s="41">
        <v>18</v>
      </c>
      <c r="J253" s="41">
        <v>50.88</v>
      </c>
      <c r="K253" s="41">
        <v>18121.46</v>
      </c>
      <c r="L253" s="43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41"/>
      <c r="C254" s="41" t="s">
        <v>6500</v>
      </c>
      <c r="D254" s="46"/>
      <c r="E254" s="41" t="s">
        <v>578</v>
      </c>
      <c r="F254" s="41"/>
      <c r="G254" s="62"/>
      <c r="H254" s="41" t="s">
        <v>361</v>
      </c>
      <c r="I254" s="41">
        <v>1</v>
      </c>
      <c r="J254" s="41">
        <v>124.63</v>
      </c>
      <c r="K254" s="41"/>
      <c r="L254" s="43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54">
        <v>45530</v>
      </c>
      <c r="C255" s="41">
        <v>20240004848</v>
      </c>
      <c r="D255" s="46"/>
      <c r="E255" s="41" t="s">
        <v>583</v>
      </c>
      <c r="F255" s="41"/>
      <c r="G255" s="62"/>
      <c r="H255" s="41" t="s">
        <v>361</v>
      </c>
      <c r="I255" s="41">
        <v>2</v>
      </c>
      <c r="J255" s="41">
        <v>123.99</v>
      </c>
      <c r="K255" s="41">
        <v>8950</v>
      </c>
      <c r="L255" s="43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41"/>
      <c r="C256" s="41" t="s">
        <v>6500</v>
      </c>
      <c r="D256" s="46" t="s">
        <v>6598</v>
      </c>
      <c r="E256" s="41" t="s">
        <v>6599</v>
      </c>
      <c r="F256" s="41"/>
      <c r="G256" s="62"/>
      <c r="H256" s="41" t="s">
        <v>361</v>
      </c>
      <c r="I256" s="41">
        <v>3</v>
      </c>
      <c r="J256" s="41">
        <v>119.5</v>
      </c>
      <c r="K256" s="41">
        <v>9037.65690376569</v>
      </c>
      <c r="L256" s="43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41" t="s">
        <v>6600</v>
      </c>
      <c r="C257" s="41">
        <v>20230010720</v>
      </c>
      <c r="D257" s="46" t="s">
        <v>594</v>
      </c>
      <c r="E257" s="41" t="s">
        <v>595</v>
      </c>
      <c r="F257" s="41"/>
      <c r="G257" s="62"/>
      <c r="H257" s="41" t="s">
        <v>361</v>
      </c>
      <c r="I257" s="41">
        <v>4</v>
      </c>
      <c r="J257" s="41">
        <v>78.72</v>
      </c>
      <c r="K257" s="41">
        <v>10000</v>
      </c>
      <c r="L257" s="43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41" t="s">
        <v>6600</v>
      </c>
      <c r="C258" s="41">
        <v>20230010721</v>
      </c>
      <c r="D258" s="46" t="s">
        <v>594</v>
      </c>
      <c r="E258" s="41" t="s">
        <v>595</v>
      </c>
      <c r="F258" s="41"/>
      <c r="G258" s="62"/>
      <c r="H258" s="41" t="s">
        <v>361</v>
      </c>
      <c r="I258" s="41">
        <v>5</v>
      </c>
      <c r="J258" s="41">
        <v>78.72</v>
      </c>
      <c r="K258" s="41">
        <v>10000</v>
      </c>
      <c r="L258" s="43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54">
        <v>45202</v>
      </c>
      <c r="C259" s="41">
        <v>20230008531</v>
      </c>
      <c r="D259" s="1048" t="s">
        <v>613</v>
      </c>
      <c r="E259" s="41" t="s">
        <v>6601</v>
      </c>
      <c r="F259" s="41"/>
      <c r="G259" s="62"/>
      <c r="H259" s="41" t="s">
        <v>361</v>
      </c>
      <c r="I259" s="41">
        <v>6</v>
      </c>
      <c r="J259" s="41">
        <v>78.72</v>
      </c>
      <c r="K259" s="41">
        <v>9690.4</v>
      </c>
      <c r="L259" s="43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54">
        <v>45319</v>
      </c>
      <c r="C260" s="41">
        <v>20240000633</v>
      </c>
      <c r="D260" s="46" t="s">
        <v>6602</v>
      </c>
      <c r="E260" s="41" t="s">
        <v>6603</v>
      </c>
      <c r="F260" s="41"/>
      <c r="G260" s="62"/>
      <c r="H260" s="41" t="s">
        <v>361</v>
      </c>
      <c r="I260" s="41">
        <v>7</v>
      </c>
      <c r="J260" s="41">
        <v>69.35</v>
      </c>
      <c r="K260" s="41">
        <v>9740</v>
      </c>
      <c r="L260" s="43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54">
        <v>45202</v>
      </c>
      <c r="C261" s="41">
        <v>20230008528</v>
      </c>
      <c r="D261" s="46"/>
      <c r="E261" s="41" t="s">
        <v>614</v>
      </c>
      <c r="F261" s="41"/>
      <c r="G261" s="62"/>
      <c r="H261" s="41" t="s">
        <v>361</v>
      </c>
      <c r="I261" s="41">
        <v>8</v>
      </c>
      <c r="J261" s="41">
        <v>82.47</v>
      </c>
      <c r="K261" s="41">
        <v>9851</v>
      </c>
      <c r="L261" s="43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54">
        <v>45202</v>
      </c>
      <c r="C262" s="41">
        <v>20230008534</v>
      </c>
      <c r="D262" s="46" t="s">
        <v>620</v>
      </c>
      <c r="E262" s="41" t="s">
        <v>6604</v>
      </c>
      <c r="F262" s="41"/>
      <c r="G262" s="62"/>
      <c r="H262" s="41" t="s">
        <v>361</v>
      </c>
      <c r="I262" s="41">
        <v>9</v>
      </c>
      <c r="J262" s="41">
        <v>78.72</v>
      </c>
      <c r="K262" s="41">
        <v>9942</v>
      </c>
      <c r="L262" s="43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54">
        <v>45538</v>
      </c>
      <c r="C263" s="41">
        <v>20240005074</v>
      </c>
      <c r="D263" s="46"/>
      <c r="E263" s="41" t="s">
        <v>627</v>
      </c>
      <c r="F263" s="41"/>
      <c r="G263" s="62"/>
      <c r="H263" s="41" t="s">
        <v>361</v>
      </c>
      <c r="I263" s="41">
        <v>10</v>
      </c>
      <c r="J263" s="41">
        <v>140.64</v>
      </c>
      <c r="K263" s="41">
        <v>9405.14078498294</v>
      </c>
      <c r="L263" s="43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41" t="s">
        <v>1754</v>
      </c>
      <c r="C264" s="41">
        <v>20240000151</v>
      </c>
      <c r="D264" s="46" t="s">
        <v>630</v>
      </c>
      <c r="E264" s="40" t="s">
        <v>631</v>
      </c>
      <c r="F264" s="40"/>
      <c r="G264" s="62"/>
      <c r="H264" s="41" t="s">
        <v>361</v>
      </c>
      <c r="I264" s="41">
        <v>11</v>
      </c>
      <c r="J264" s="41">
        <v>237.74</v>
      </c>
      <c r="K264" s="41">
        <f>L264/J264</f>
        <v>11971.746445697</v>
      </c>
      <c r="L264" s="43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54">
        <v>45308</v>
      </c>
      <c r="C265" s="41">
        <v>20240000152</v>
      </c>
      <c r="D265" s="46"/>
      <c r="E265" s="40" t="s">
        <v>638</v>
      </c>
      <c r="F265" s="40"/>
      <c r="G265" s="62"/>
      <c r="H265" s="41" t="s">
        <v>361</v>
      </c>
      <c r="I265" s="41">
        <v>12</v>
      </c>
      <c r="J265" s="41">
        <v>205.28</v>
      </c>
      <c r="K265" s="41">
        <f>L265/J265</f>
        <v>11971.5072096648</v>
      </c>
      <c r="L265" s="43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54">
        <v>45204</v>
      </c>
      <c r="C266" s="41">
        <v>20230008633</v>
      </c>
      <c r="D266" s="46" t="s">
        <v>642</v>
      </c>
      <c r="E266" s="41" t="s">
        <v>643</v>
      </c>
      <c r="F266" s="41"/>
      <c r="G266" s="62"/>
      <c r="H266" s="41" t="s">
        <v>361</v>
      </c>
      <c r="I266" s="41">
        <v>13</v>
      </c>
      <c r="J266" s="41">
        <v>73.7</v>
      </c>
      <c r="K266" s="41">
        <v>8510.97</v>
      </c>
      <c r="L266" s="43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41" t="s">
        <v>513</v>
      </c>
      <c r="C267" s="41">
        <v>20230008344</v>
      </c>
      <c r="D267" s="46" t="s">
        <v>650</v>
      </c>
      <c r="E267" s="41" t="s">
        <v>651</v>
      </c>
      <c r="F267" s="41"/>
      <c r="G267" s="62"/>
      <c r="H267" s="41" t="s">
        <v>361</v>
      </c>
      <c r="I267" s="41">
        <v>14</v>
      </c>
      <c r="J267" s="41">
        <v>73.7</v>
      </c>
      <c r="K267" s="41">
        <v>8431.25</v>
      </c>
      <c r="L267" s="43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54">
        <v>45499</v>
      </c>
      <c r="C268" s="41">
        <v>20240004261</v>
      </c>
      <c r="D268" s="46" t="s">
        <v>665</v>
      </c>
      <c r="E268" s="40" t="s">
        <v>6605</v>
      </c>
      <c r="F268" s="40"/>
      <c r="G268" s="62"/>
      <c r="H268" s="41" t="s">
        <v>361</v>
      </c>
      <c r="I268" s="41">
        <v>17</v>
      </c>
      <c r="J268" s="41">
        <v>78.97</v>
      </c>
      <c r="K268" s="41">
        <v>8300</v>
      </c>
      <c r="L268" s="43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41" t="s">
        <v>679</v>
      </c>
      <c r="C269" s="41">
        <v>20230008933</v>
      </c>
      <c r="D269" s="46"/>
      <c r="E269" s="41" t="s">
        <v>677</v>
      </c>
      <c r="F269" s="41"/>
      <c r="G269" s="62"/>
      <c r="H269" s="41" t="s">
        <v>361</v>
      </c>
      <c r="I269" s="41">
        <v>19</v>
      </c>
      <c r="J269" s="41">
        <v>58.66</v>
      </c>
      <c r="K269" s="41">
        <v>8144.33</v>
      </c>
      <c r="L269" s="43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54">
        <v>45329</v>
      </c>
      <c r="C270" s="41">
        <v>20240000814</v>
      </c>
      <c r="D270" s="46" t="s">
        <v>682</v>
      </c>
      <c r="E270" s="41" t="s">
        <v>683</v>
      </c>
      <c r="F270" s="41"/>
      <c r="G270" s="62"/>
      <c r="H270" s="41" t="s">
        <v>361</v>
      </c>
      <c r="I270" s="41">
        <v>20</v>
      </c>
      <c r="J270" s="41">
        <v>58.66</v>
      </c>
      <c r="K270" s="41">
        <v>7768.95</v>
      </c>
      <c r="L270" s="43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54">
        <v>45465</v>
      </c>
      <c r="C271" s="41">
        <v>20240003579</v>
      </c>
      <c r="D271" s="46" t="s">
        <v>699</v>
      </c>
      <c r="E271" s="41" t="s">
        <v>700</v>
      </c>
      <c r="F271" s="41"/>
      <c r="G271" s="62" t="s">
        <v>701</v>
      </c>
      <c r="H271" s="41" t="s">
        <v>254</v>
      </c>
      <c r="I271" s="41">
        <v>1</v>
      </c>
      <c r="J271" s="41">
        <v>43.43</v>
      </c>
      <c r="K271" s="41">
        <v>17000</v>
      </c>
      <c r="L271" s="43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54">
        <v>45465</v>
      </c>
      <c r="C272" s="41">
        <v>20240003028</v>
      </c>
      <c r="D272" s="46" t="s">
        <v>699</v>
      </c>
      <c r="E272" s="41" t="s">
        <v>700</v>
      </c>
      <c r="F272" s="41"/>
      <c r="G272" s="62"/>
      <c r="H272" s="41" t="s">
        <v>254</v>
      </c>
      <c r="I272" s="41">
        <v>2</v>
      </c>
      <c r="J272" s="41">
        <v>50.67</v>
      </c>
      <c r="K272" s="41">
        <v>17000</v>
      </c>
      <c r="L272" s="43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54">
        <v>45464</v>
      </c>
      <c r="C273" s="41">
        <v>20240003564</v>
      </c>
      <c r="D273" s="46" t="s">
        <v>711</v>
      </c>
      <c r="E273" s="41" t="s">
        <v>712</v>
      </c>
      <c r="F273" s="41"/>
      <c r="G273" s="62"/>
      <c r="H273" s="41" t="s">
        <v>254</v>
      </c>
      <c r="I273" s="41">
        <v>3</v>
      </c>
      <c r="J273" s="41">
        <v>50.67</v>
      </c>
      <c r="K273" s="41">
        <v>17959.3447799487</v>
      </c>
      <c r="L273" s="43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54">
        <v>45504</v>
      </c>
      <c r="C274" s="41">
        <v>20240004390</v>
      </c>
      <c r="D274" s="46" t="s">
        <v>6606</v>
      </c>
      <c r="E274" s="40" t="s">
        <v>726</v>
      </c>
      <c r="F274" s="40"/>
      <c r="G274" s="62"/>
      <c r="H274" s="41" t="s">
        <v>254</v>
      </c>
      <c r="I274" s="41">
        <v>5</v>
      </c>
      <c r="J274" s="41">
        <v>50.67</v>
      </c>
      <c r="K274" s="41">
        <v>18000</v>
      </c>
      <c r="L274" s="43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54">
        <v>45474</v>
      </c>
      <c r="C275" s="41">
        <v>20240003765</v>
      </c>
      <c r="D275" s="46" t="s">
        <v>730</v>
      </c>
      <c r="E275" s="40" t="s">
        <v>731</v>
      </c>
      <c r="F275" s="40"/>
      <c r="G275" s="62"/>
      <c r="H275" s="41" t="s">
        <v>254</v>
      </c>
      <c r="I275" s="41">
        <v>6</v>
      </c>
      <c r="J275" s="41">
        <v>50.67</v>
      </c>
      <c r="K275" s="41">
        <v>18117.2291296625</v>
      </c>
      <c r="L275" s="43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54">
        <v>45474</v>
      </c>
      <c r="C276" s="41">
        <v>20240003764</v>
      </c>
      <c r="D276" s="46" t="s">
        <v>730</v>
      </c>
      <c r="E276" s="40" t="s">
        <v>737</v>
      </c>
      <c r="F276" s="40"/>
      <c r="G276" s="62"/>
      <c r="H276" s="41" t="s">
        <v>254</v>
      </c>
      <c r="I276" s="41">
        <v>7</v>
      </c>
      <c r="J276" s="41">
        <v>50.67</v>
      </c>
      <c r="K276" s="41">
        <v>18117.2291296625</v>
      </c>
      <c r="L276" s="43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54">
        <v>45440</v>
      </c>
      <c r="C277" s="41">
        <v>20240003156</v>
      </c>
      <c r="D277" s="46"/>
      <c r="E277" s="41" t="s">
        <v>742</v>
      </c>
      <c r="F277" s="41"/>
      <c r="G277" s="62"/>
      <c r="H277" s="41" t="s">
        <v>254</v>
      </c>
      <c r="I277" s="41">
        <v>8</v>
      </c>
      <c r="J277" s="41">
        <v>50.67</v>
      </c>
      <c r="K277" s="41">
        <v>18072.82</v>
      </c>
      <c r="L277" s="43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54">
        <v>45520</v>
      </c>
      <c r="C278" s="41">
        <v>20240004709</v>
      </c>
      <c r="D278" s="46" t="s">
        <v>749</v>
      </c>
      <c r="E278" s="41" t="s">
        <v>750</v>
      </c>
      <c r="F278" s="41"/>
      <c r="G278" s="62"/>
      <c r="H278" s="41" t="s">
        <v>254</v>
      </c>
      <c r="I278" s="41">
        <v>9</v>
      </c>
      <c r="J278" s="41">
        <v>50.67</v>
      </c>
      <c r="K278" s="41">
        <v>18413.26</v>
      </c>
      <c r="L278" s="43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54">
        <v>45485</v>
      </c>
      <c r="C279" s="41">
        <v>20240003988</v>
      </c>
      <c r="D279" s="46" t="s">
        <v>760</v>
      </c>
      <c r="E279" s="41" t="s">
        <v>761</v>
      </c>
      <c r="F279" s="41"/>
      <c r="G279" s="62"/>
      <c r="H279" s="41" t="s">
        <v>361</v>
      </c>
      <c r="I279" s="41">
        <v>1</v>
      </c>
      <c r="J279" s="41">
        <v>49.47</v>
      </c>
      <c r="K279" s="41">
        <v>7883</v>
      </c>
      <c r="L279" s="43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41" t="s">
        <v>810</v>
      </c>
      <c r="C280" s="41">
        <v>20230006321</v>
      </c>
      <c r="D280" s="46" t="s">
        <v>803</v>
      </c>
      <c r="E280" s="67" t="s">
        <v>6607</v>
      </c>
      <c r="F280" s="67"/>
      <c r="G280" s="62" t="s">
        <v>805</v>
      </c>
      <c r="H280" s="41" t="s">
        <v>254</v>
      </c>
      <c r="I280" s="41">
        <v>1</v>
      </c>
      <c r="J280" s="41">
        <v>43.2</v>
      </c>
      <c r="K280" s="41">
        <v>27823.06</v>
      </c>
      <c r="L280" s="43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41" t="s">
        <v>810</v>
      </c>
      <c r="C281" s="41">
        <v>20230006321</v>
      </c>
      <c r="D281" s="46" t="s">
        <v>803</v>
      </c>
      <c r="E281" s="67" t="s">
        <v>6608</v>
      </c>
      <c r="F281" s="67"/>
      <c r="G281" s="62"/>
      <c r="H281" s="41" t="s">
        <v>254</v>
      </c>
      <c r="I281" s="41">
        <v>2</v>
      </c>
      <c r="J281" s="41">
        <v>42.69</v>
      </c>
      <c r="K281" s="41">
        <v>25861.15</v>
      </c>
      <c r="L281" s="43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41" t="s">
        <v>810</v>
      </c>
      <c r="C282" s="41">
        <v>20230006321</v>
      </c>
      <c r="D282" s="46" t="s">
        <v>803</v>
      </c>
      <c r="E282" s="67" t="s">
        <v>6608</v>
      </c>
      <c r="F282" s="67"/>
      <c r="G282" s="62"/>
      <c r="H282" s="41" t="s">
        <v>254</v>
      </c>
      <c r="I282" s="41">
        <v>3</v>
      </c>
      <c r="J282" s="41">
        <v>42.69</v>
      </c>
      <c r="K282" s="41">
        <v>25391.04</v>
      </c>
      <c r="L282" s="43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41" t="s">
        <v>826</v>
      </c>
      <c r="C283" s="41">
        <v>20230006451</v>
      </c>
      <c r="D283" s="46" t="s">
        <v>820</v>
      </c>
      <c r="E283" s="65" t="s">
        <v>6609</v>
      </c>
      <c r="F283" s="65"/>
      <c r="G283" s="62"/>
      <c r="H283" s="41" t="s">
        <v>254</v>
      </c>
      <c r="I283" s="41">
        <v>4</v>
      </c>
      <c r="J283" s="41">
        <v>42.69</v>
      </c>
      <c r="K283" s="41">
        <v>24945.91</v>
      </c>
      <c r="L283" s="43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41" t="s">
        <v>471</v>
      </c>
      <c r="C284" s="41">
        <v>20230008712</v>
      </c>
      <c r="D284" s="46" t="s">
        <v>830</v>
      </c>
      <c r="E284" s="64" t="s">
        <v>6610</v>
      </c>
      <c r="F284" s="64"/>
      <c r="G284" s="62"/>
      <c r="H284" s="41" t="s">
        <v>254</v>
      </c>
      <c r="I284" s="41">
        <v>5</v>
      </c>
      <c r="J284" s="41">
        <v>42.69</v>
      </c>
      <c r="K284" s="41">
        <v>24963.84</v>
      </c>
      <c r="L284" s="43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41"/>
      <c r="C285" s="41" t="s">
        <v>6500</v>
      </c>
      <c r="D285" s="46" t="s">
        <v>841</v>
      </c>
      <c r="E285" s="47" t="s">
        <v>6611</v>
      </c>
      <c r="F285" s="47"/>
      <c r="G285" s="62"/>
      <c r="H285" s="41" t="s">
        <v>254</v>
      </c>
      <c r="I285" s="41">
        <v>6</v>
      </c>
      <c r="J285" s="41">
        <v>29.05</v>
      </c>
      <c r="K285" s="41">
        <v>24463.84</v>
      </c>
      <c r="L285" s="43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41" t="s">
        <v>513</v>
      </c>
      <c r="C286" s="41">
        <v>20230008395</v>
      </c>
      <c r="D286" s="46" t="s">
        <v>841</v>
      </c>
      <c r="E286" s="47" t="s">
        <v>6612</v>
      </c>
      <c r="F286" s="47"/>
      <c r="G286" s="62"/>
      <c r="H286" s="41" t="s">
        <v>254</v>
      </c>
      <c r="I286" s="41">
        <v>7</v>
      </c>
      <c r="J286" s="41">
        <v>42.69</v>
      </c>
      <c r="K286" s="41">
        <v>24369.82</v>
      </c>
      <c r="L286" s="43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41" t="s">
        <v>858</v>
      </c>
      <c r="C287" s="41">
        <v>20230005526</v>
      </c>
      <c r="D287" s="46" t="s">
        <v>853</v>
      </c>
      <c r="E287" s="47" t="s">
        <v>6613</v>
      </c>
      <c r="F287" s="47"/>
      <c r="G287" s="62"/>
      <c r="H287" s="41" t="s">
        <v>254</v>
      </c>
      <c r="I287" s="41">
        <v>8</v>
      </c>
      <c r="J287" s="41">
        <v>42.69</v>
      </c>
      <c r="K287" s="41">
        <v>24275.79</v>
      </c>
      <c r="L287" s="43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41"/>
      <c r="C288" s="41" t="s">
        <v>6500</v>
      </c>
      <c r="D288" s="46" t="s">
        <v>6614</v>
      </c>
      <c r="E288" s="47" t="s">
        <v>6615</v>
      </c>
      <c r="F288" s="47"/>
      <c r="G288" s="62"/>
      <c r="H288" s="41" t="s">
        <v>254</v>
      </c>
      <c r="I288" s="41">
        <v>9</v>
      </c>
      <c r="J288" s="41">
        <v>42.69</v>
      </c>
      <c r="K288" s="41">
        <v>24181.77</v>
      </c>
      <c r="L288" s="43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41" t="s">
        <v>876</v>
      </c>
      <c r="C289" s="41">
        <v>20230005458</v>
      </c>
      <c r="D289" s="46" t="s">
        <v>870</v>
      </c>
      <c r="E289" s="64" t="s">
        <v>6616</v>
      </c>
      <c r="F289" s="64"/>
      <c r="G289" s="62"/>
      <c r="H289" s="41" t="s">
        <v>254</v>
      </c>
      <c r="I289" s="41">
        <v>10</v>
      </c>
      <c r="J289" s="41">
        <v>41.68</v>
      </c>
      <c r="K289" s="41">
        <v>24669.16</v>
      </c>
      <c r="L289" s="43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41" t="s">
        <v>455</v>
      </c>
      <c r="C290" s="41">
        <v>20230008219</v>
      </c>
      <c r="D290" s="46" t="s">
        <v>878</v>
      </c>
      <c r="E290" s="64" t="s">
        <v>6617</v>
      </c>
      <c r="F290" s="64"/>
      <c r="G290" s="62"/>
      <c r="H290" s="41" t="s">
        <v>254</v>
      </c>
      <c r="I290" s="41">
        <v>11</v>
      </c>
      <c r="J290" s="41">
        <v>43.2</v>
      </c>
      <c r="K290" s="41">
        <v>25867</v>
      </c>
      <c r="L290" s="43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41" t="s">
        <v>455</v>
      </c>
      <c r="C291" s="41">
        <v>20230008224</v>
      </c>
      <c r="D291" s="46" t="s">
        <v>878</v>
      </c>
      <c r="E291" s="64" t="s">
        <v>6617</v>
      </c>
      <c r="F291" s="64"/>
      <c r="G291" s="62"/>
      <c r="H291" s="41" t="s">
        <v>254</v>
      </c>
      <c r="I291" s="41">
        <v>12</v>
      </c>
      <c r="J291" s="41">
        <v>43.2</v>
      </c>
      <c r="K291" s="41">
        <v>20533</v>
      </c>
      <c r="L291" s="43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41" t="s">
        <v>876</v>
      </c>
      <c r="C292" s="41">
        <v>20230005459</v>
      </c>
      <c r="D292" s="46" t="s">
        <v>870</v>
      </c>
      <c r="E292" s="64" t="s">
        <v>6616</v>
      </c>
      <c r="F292" s="64"/>
      <c r="G292" s="62"/>
      <c r="H292" s="41" t="s">
        <v>254</v>
      </c>
      <c r="I292" s="41">
        <v>13</v>
      </c>
      <c r="J292" s="41">
        <v>41.68</v>
      </c>
      <c r="K292" s="41">
        <v>19527.5</v>
      </c>
      <c r="L292" s="43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54">
        <v>45318</v>
      </c>
      <c r="C293" s="41">
        <v>20240000629</v>
      </c>
      <c r="D293" s="46" t="s">
        <v>892</v>
      </c>
      <c r="E293" s="47" t="s">
        <v>6618</v>
      </c>
      <c r="F293" s="47"/>
      <c r="G293" s="62"/>
      <c r="H293" s="41" t="s">
        <v>254</v>
      </c>
      <c r="I293" s="41">
        <v>14</v>
      </c>
      <c r="J293" s="41">
        <v>42.69</v>
      </c>
      <c r="K293" s="41">
        <v>17421.83</v>
      </c>
      <c r="L293" s="43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54">
        <v>45111</v>
      </c>
      <c r="C294" s="41">
        <v>20230005527</v>
      </c>
      <c r="D294" s="46" t="s">
        <v>853</v>
      </c>
      <c r="E294" s="47" t="s">
        <v>6613</v>
      </c>
      <c r="F294" s="47"/>
      <c r="G294" s="62"/>
      <c r="H294" s="41" t="s">
        <v>254</v>
      </c>
      <c r="I294" s="41">
        <v>15</v>
      </c>
      <c r="J294" s="41">
        <v>42.69</v>
      </c>
      <c r="K294" s="41">
        <v>17235.72</v>
      </c>
      <c r="L294" s="43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54">
        <v>45223</v>
      </c>
      <c r="C295" s="41">
        <v>20230009189</v>
      </c>
      <c r="D295" s="46" t="s">
        <v>841</v>
      </c>
      <c r="E295" s="47" t="s">
        <v>6611</v>
      </c>
      <c r="F295" s="47"/>
      <c r="G295" s="62"/>
      <c r="H295" s="41" t="s">
        <v>254</v>
      </c>
      <c r="I295" s="41">
        <v>16</v>
      </c>
      <c r="J295" s="41">
        <v>42.69</v>
      </c>
      <c r="K295" s="41">
        <v>17049.62</v>
      </c>
      <c r="L295" s="43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54">
        <v>45223</v>
      </c>
      <c r="C296" s="41">
        <v>20230009190</v>
      </c>
      <c r="D296" s="46" t="s">
        <v>841</v>
      </c>
      <c r="E296" s="47" t="s">
        <v>6611</v>
      </c>
      <c r="F296" s="47"/>
      <c r="G296" s="62"/>
      <c r="H296" s="41" t="s">
        <v>254</v>
      </c>
      <c r="I296" s="41">
        <v>17</v>
      </c>
      <c r="J296" s="41">
        <v>42.69</v>
      </c>
      <c r="K296" s="41">
        <v>17049.62</v>
      </c>
      <c r="L296" s="43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41" t="s">
        <v>471</v>
      </c>
      <c r="C297" s="41">
        <v>20230008715</v>
      </c>
      <c r="D297" s="46" t="s">
        <v>830</v>
      </c>
      <c r="E297" s="41" t="s">
        <v>6619</v>
      </c>
      <c r="F297" s="41"/>
      <c r="G297" s="62"/>
      <c r="H297" s="41" t="s">
        <v>254</v>
      </c>
      <c r="I297" s="41">
        <v>18</v>
      </c>
      <c r="J297" s="41">
        <v>42.69</v>
      </c>
      <c r="K297" s="41">
        <v>16677.4</v>
      </c>
      <c r="L297" s="43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41" t="s">
        <v>917</v>
      </c>
      <c r="C298" s="41">
        <v>20230006187</v>
      </c>
      <c r="D298" s="46" t="s">
        <v>913</v>
      </c>
      <c r="E298" s="64" t="s">
        <v>6620</v>
      </c>
      <c r="F298" s="64"/>
      <c r="G298" s="62"/>
      <c r="H298" s="41" t="s">
        <v>254</v>
      </c>
      <c r="I298" s="41">
        <v>19</v>
      </c>
      <c r="J298" s="41">
        <v>42.69</v>
      </c>
      <c r="K298" s="41">
        <v>16563.51</v>
      </c>
      <c r="L298" s="43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41" t="s">
        <v>455</v>
      </c>
      <c r="C299" s="41">
        <v>20230008181</v>
      </c>
      <c r="D299" s="46" t="s">
        <v>920</v>
      </c>
      <c r="E299" s="64" t="s">
        <v>6621</v>
      </c>
      <c r="F299" s="64"/>
      <c r="G299" s="62"/>
      <c r="H299" s="41" t="s">
        <v>254</v>
      </c>
      <c r="I299" s="41">
        <v>20</v>
      </c>
      <c r="J299" s="41">
        <v>42.69</v>
      </c>
      <c r="K299" s="41">
        <v>17780.15</v>
      </c>
      <c r="L299" s="43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41" t="s">
        <v>810</v>
      </c>
      <c r="C300" s="41">
        <v>20230006324</v>
      </c>
      <c r="D300" s="46" t="s">
        <v>803</v>
      </c>
      <c r="E300" s="64" t="s">
        <v>6608</v>
      </c>
      <c r="F300" s="64"/>
      <c r="G300" s="62"/>
      <c r="H300" s="41" t="s">
        <v>254</v>
      </c>
      <c r="I300" s="41">
        <v>21</v>
      </c>
      <c r="J300" s="41">
        <v>42.69</v>
      </c>
      <c r="K300" s="41">
        <v>20163.06</v>
      </c>
      <c r="L300" s="43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41" t="s">
        <v>810</v>
      </c>
      <c r="C301" s="41">
        <v>20230006324</v>
      </c>
      <c r="D301" s="46" t="s">
        <v>803</v>
      </c>
      <c r="E301" s="40" t="s">
        <v>6608</v>
      </c>
      <c r="F301" s="40"/>
      <c r="G301" s="62"/>
      <c r="H301" s="41" t="s">
        <v>254</v>
      </c>
      <c r="I301" s="41">
        <v>22</v>
      </c>
      <c r="J301" s="41">
        <v>43.2</v>
      </c>
      <c r="K301" s="41">
        <v>26663.06</v>
      </c>
      <c r="L301" s="43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41" t="s">
        <v>938</v>
      </c>
      <c r="C302" s="41">
        <v>20230006477</v>
      </c>
      <c r="D302" s="46" t="s">
        <v>630</v>
      </c>
      <c r="E302" s="64" t="s">
        <v>6622</v>
      </c>
      <c r="F302" s="64"/>
      <c r="G302" s="62"/>
      <c r="H302" s="41" t="s">
        <v>361</v>
      </c>
      <c r="I302" s="41">
        <v>1</v>
      </c>
      <c r="J302" s="41">
        <v>197.25</v>
      </c>
      <c r="K302" s="41">
        <v>10900</v>
      </c>
      <c r="L302" s="43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54">
        <v>45501</v>
      </c>
      <c r="C303" s="41">
        <v>20240004284</v>
      </c>
      <c r="D303" s="46" t="s">
        <v>941</v>
      </c>
      <c r="E303" s="41" t="s">
        <v>6623</v>
      </c>
      <c r="F303" s="41"/>
      <c r="G303" s="62"/>
      <c r="H303" s="41" t="s">
        <v>361</v>
      </c>
      <c r="I303" s="41">
        <v>2</v>
      </c>
      <c r="J303" s="41">
        <v>291.86</v>
      </c>
      <c r="K303" s="41">
        <v>10674.0526279723</v>
      </c>
      <c r="L303" s="43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41" t="s">
        <v>953</v>
      </c>
      <c r="C304" s="41">
        <v>20240001025</v>
      </c>
      <c r="D304" s="46" t="s">
        <v>950</v>
      </c>
      <c r="E304" s="40" t="s">
        <v>6624</v>
      </c>
      <c r="F304" s="40"/>
      <c r="G304" s="62"/>
      <c r="H304" s="41" t="s">
        <v>361</v>
      </c>
      <c r="I304" s="41">
        <v>3</v>
      </c>
      <c r="J304" s="41">
        <v>276.2</v>
      </c>
      <c r="K304" s="41">
        <v>9100</v>
      </c>
      <c r="L304" s="43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41" t="s">
        <v>2797</v>
      </c>
      <c r="C305" s="41">
        <v>20230008529</v>
      </c>
      <c r="D305" s="46" t="s">
        <v>955</v>
      </c>
      <c r="E305" s="40" t="s">
        <v>6625</v>
      </c>
      <c r="F305" s="40"/>
      <c r="G305" s="62"/>
      <c r="H305" s="41" t="s">
        <v>695</v>
      </c>
      <c r="I305" s="41">
        <v>1</v>
      </c>
      <c r="J305" s="41">
        <v>489.11</v>
      </c>
      <c r="K305" s="41">
        <v>7600</v>
      </c>
      <c r="L305" s="43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41" t="s">
        <v>965</v>
      </c>
      <c r="C306" s="41">
        <v>20240002594</v>
      </c>
      <c r="D306" s="46" t="s">
        <v>960</v>
      </c>
      <c r="E306" s="40" t="s">
        <v>6626</v>
      </c>
      <c r="F306" s="40"/>
      <c r="G306" s="62"/>
      <c r="H306" s="41" t="s">
        <v>695</v>
      </c>
      <c r="I306" s="41">
        <v>2</v>
      </c>
      <c r="J306" s="41">
        <v>569.14</v>
      </c>
      <c r="K306" s="41">
        <v>7000</v>
      </c>
      <c r="L306" s="43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41" t="s">
        <v>4621</v>
      </c>
      <c r="C307" s="41">
        <v>20230006201</v>
      </c>
      <c r="D307" s="46" t="s">
        <v>969</v>
      </c>
      <c r="E307" s="40" t="s">
        <v>6627</v>
      </c>
      <c r="F307" s="40"/>
      <c r="G307" s="62" t="s">
        <v>971</v>
      </c>
      <c r="H307" s="41" t="s">
        <v>254</v>
      </c>
      <c r="I307" s="41">
        <v>1</v>
      </c>
      <c r="J307" s="41">
        <v>58.46</v>
      </c>
      <c r="K307" s="41">
        <v>26290</v>
      </c>
      <c r="L307" s="43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41" t="s">
        <v>1105</v>
      </c>
      <c r="C308" s="41">
        <v>20230006847</v>
      </c>
      <c r="D308" s="46" t="s">
        <v>979</v>
      </c>
      <c r="E308" s="47" t="s">
        <v>6628</v>
      </c>
      <c r="F308" s="47"/>
      <c r="G308" s="62"/>
      <c r="H308" s="41" t="s">
        <v>254</v>
      </c>
      <c r="I308" s="41">
        <v>2</v>
      </c>
      <c r="J308" s="41">
        <v>41.69</v>
      </c>
      <c r="K308" s="41">
        <v>24675</v>
      </c>
      <c r="L308" s="43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41" t="s">
        <v>1105</v>
      </c>
      <c r="C309" s="41">
        <v>20230006849</v>
      </c>
      <c r="D309" s="46" t="s">
        <v>979</v>
      </c>
      <c r="E309" s="65" t="s">
        <v>6629</v>
      </c>
      <c r="F309" s="65"/>
      <c r="G309" s="62"/>
      <c r="H309" s="41" t="s">
        <v>254</v>
      </c>
      <c r="I309" s="41">
        <v>3</v>
      </c>
      <c r="J309" s="41">
        <v>42.7</v>
      </c>
      <c r="K309" s="41">
        <v>23799.7</v>
      </c>
      <c r="L309" s="43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41" t="s">
        <v>4621</v>
      </c>
      <c r="C310" s="41">
        <v>20230006188</v>
      </c>
      <c r="D310" s="46" t="s">
        <v>990</v>
      </c>
      <c r="E310" s="47" t="s">
        <v>6630</v>
      </c>
      <c r="F310" s="47"/>
      <c r="G310" s="62"/>
      <c r="H310" s="41" t="s">
        <v>254</v>
      </c>
      <c r="I310" s="41">
        <v>4</v>
      </c>
      <c r="J310" s="41">
        <v>42.7</v>
      </c>
      <c r="K310" s="41">
        <v>23793.72</v>
      </c>
      <c r="L310" s="43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41" t="s">
        <v>4621</v>
      </c>
      <c r="C311" s="41">
        <v>20230006199</v>
      </c>
      <c r="D311" s="46" t="s">
        <v>996</v>
      </c>
      <c r="E311" s="68" t="s">
        <v>6631</v>
      </c>
      <c r="F311" s="68"/>
      <c r="G311" s="62"/>
      <c r="H311" s="41" t="s">
        <v>254</v>
      </c>
      <c r="I311" s="41">
        <v>5</v>
      </c>
      <c r="J311" s="41">
        <v>42.7</v>
      </c>
      <c r="K311" s="41">
        <v>23887.75</v>
      </c>
      <c r="L311" s="43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41" t="s">
        <v>1097</v>
      </c>
      <c r="C312" s="41">
        <v>20230005506</v>
      </c>
      <c r="D312" s="46" t="s">
        <v>1002</v>
      </c>
      <c r="E312" s="47" t="s">
        <v>6632</v>
      </c>
      <c r="F312" s="47"/>
      <c r="G312" s="62"/>
      <c r="H312" s="41" t="s">
        <v>254</v>
      </c>
      <c r="I312" s="41">
        <v>6</v>
      </c>
      <c r="J312" s="41">
        <v>42.7</v>
      </c>
      <c r="K312" s="41">
        <v>24181.76</v>
      </c>
      <c r="L312" s="43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41" t="s">
        <v>1019</v>
      </c>
      <c r="C313" s="41">
        <v>20230005811</v>
      </c>
      <c r="D313" s="46" t="s">
        <v>6633</v>
      </c>
      <c r="E313" s="40" t="s">
        <v>6634</v>
      </c>
      <c r="F313" s="40"/>
      <c r="G313" s="62"/>
      <c r="H313" s="41" t="s">
        <v>254</v>
      </c>
      <c r="I313" s="41">
        <v>7</v>
      </c>
      <c r="J313" s="41">
        <v>42.7</v>
      </c>
      <c r="K313" s="41">
        <v>23799.7</v>
      </c>
      <c r="L313" s="43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41" t="s">
        <v>1027</v>
      </c>
      <c r="C314" s="41">
        <v>20230005770</v>
      </c>
      <c r="D314" s="46" t="s">
        <v>1021</v>
      </c>
      <c r="E314" s="47" t="s">
        <v>6635</v>
      </c>
      <c r="F314" s="47"/>
      <c r="G314" s="62"/>
      <c r="H314" s="41" t="s">
        <v>254</v>
      </c>
      <c r="I314" s="41">
        <v>8</v>
      </c>
      <c r="J314" s="41">
        <v>42.7</v>
      </c>
      <c r="K314" s="41">
        <v>24475.79</v>
      </c>
      <c r="L314" s="43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41" t="s">
        <v>938</v>
      </c>
      <c r="C315" s="41">
        <v>20230006480</v>
      </c>
      <c r="D315" s="46" t="s">
        <v>1030</v>
      </c>
      <c r="E315" s="47" t="s">
        <v>6636</v>
      </c>
      <c r="F315" s="47"/>
      <c r="G315" s="62"/>
      <c r="H315" s="41" t="s">
        <v>254</v>
      </c>
      <c r="I315" s="41">
        <v>9</v>
      </c>
      <c r="J315" s="41">
        <v>42.7</v>
      </c>
      <c r="K315" s="41">
        <v>24633.96</v>
      </c>
      <c r="L315" s="43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54">
        <v>45166</v>
      </c>
      <c r="C316" s="41">
        <v>20230007366</v>
      </c>
      <c r="D316" s="46" t="s">
        <v>1037</v>
      </c>
      <c r="E316" s="47" t="s">
        <v>6637</v>
      </c>
      <c r="F316" s="47"/>
      <c r="G316" s="62"/>
      <c r="H316" s="41" t="s">
        <v>254</v>
      </c>
      <c r="I316" s="41">
        <v>10</v>
      </c>
      <c r="J316" s="41">
        <v>42.7</v>
      </c>
      <c r="K316" s="41">
        <v>25532.91</v>
      </c>
      <c r="L316" s="43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41"/>
      <c r="C317" s="41" t="s">
        <v>6500</v>
      </c>
      <c r="D317" s="46" t="s">
        <v>1062</v>
      </c>
      <c r="E317" s="64" t="s">
        <v>6638</v>
      </c>
      <c r="F317" s="64"/>
      <c r="G317" s="62"/>
      <c r="H317" s="41" t="s">
        <v>254</v>
      </c>
      <c r="I317" s="41">
        <v>11</v>
      </c>
      <c r="J317" s="41">
        <v>55.92</v>
      </c>
      <c r="K317" s="41"/>
      <c r="L317" s="43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41" t="s">
        <v>1872</v>
      </c>
      <c r="C318" s="41">
        <v>20230005679</v>
      </c>
      <c r="D318" s="55" t="s">
        <v>1051</v>
      </c>
      <c r="E318" s="40" t="s">
        <v>6639</v>
      </c>
      <c r="F318" s="40"/>
      <c r="G318" s="62"/>
      <c r="H318" s="41" t="s">
        <v>254</v>
      </c>
      <c r="I318" s="41">
        <v>12</v>
      </c>
      <c r="J318" s="41">
        <v>42.19</v>
      </c>
      <c r="K318" s="41">
        <v>33084.45</v>
      </c>
      <c r="L318" s="43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41" t="s">
        <v>1872</v>
      </c>
      <c r="C319" s="41">
        <v>20230005680</v>
      </c>
      <c r="D319" s="55" t="s">
        <v>1051</v>
      </c>
      <c r="E319" s="40" t="s">
        <v>6640</v>
      </c>
      <c r="F319" s="40"/>
      <c r="G319" s="62"/>
      <c r="H319" s="41" t="s">
        <v>254</v>
      </c>
      <c r="I319" s="41">
        <v>13</v>
      </c>
      <c r="J319" s="41">
        <v>42.19</v>
      </c>
      <c r="K319" s="41">
        <v>26171.3</v>
      </c>
      <c r="L319" s="43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41"/>
      <c r="C320" s="41" t="s">
        <v>6500</v>
      </c>
      <c r="D320" s="46" t="s">
        <v>1062</v>
      </c>
      <c r="E320" s="64" t="s">
        <v>6641</v>
      </c>
      <c r="F320" s="64"/>
      <c r="G320" s="62"/>
      <c r="H320" s="41" t="s">
        <v>254</v>
      </c>
      <c r="I320" s="41">
        <v>14</v>
      </c>
      <c r="J320" s="41">
        <v>55.92</v>
      </c>
      <c r="K320" s="41">
        <f>L320/J320</f>
        <v>7421.31616595136</v>
      </c>
      <c r="L320" s="43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41" t="s">
        <v>1872</v>
      </c>
      <c r="C321" s="41">
        <v>20230005699</v>
      </c>
      <c r="D321" s="46" t="s">
        <v>1066</v>
      </c>
      <c r="E321" s="47" t="s">
        <v>6642</v>
      </c>
      <c r="F321" s="47"/>
      <c r="G321" s="62"/>
      <c r="H321" s="41" t="s">
        <v>254</v>
      </c>
      <c r="I321" s="41">
        <v>15</v>
      </c>
      <c r="J321" s="41">
        <v>42.7</v>
      </c>
      <c r="K321" s="41">
        <v>17880.15</v>
      </c>
      <c r="L321" s="43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41" t="s">
        <v>471</v>
      </c>
      <c r="C322" s="41">
        <v>20230008663</v>
      </c>
      <c r="D322" s="46" t="s">
        <v>1073</v>
      </c>
      <c r="E322" s="47" t="s">
        <v>6643</v>
      </c>
      <c r="F322" s="47"/>
      <c r="G322" s="62"/>
      <c r="H322" s="41" t="s">
        <v>254</v>
      </c>
      <c r="I322" s="41">
        <v>16</v>
      </c>
      <c r="J322" s="41">
        <v>42.7</v>
      </c>
      <c r="K322" s="41">
        <v>17214.88</v>
      </c>
      <c r="L322" s="43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41" t="s">
        <v>2274</v>
      </c>
      <c r="C323" s="41">
        <v>20230005464</v>
      </c>
      <c r="D323" s="46" t="s">
        <v>1080</v>
      </c>
      <c r="E323" s="64" t="s">
        <v>6644</v>
      </c>
      <c r="F323" s="64"/>
      <c r="G323" s="62"/>
      <c r="H323" s="41" t="s">
        <v>254</v>
      </c>
      <c r="I323" s="41">
        <v>17</v>
      </c>
      <c r="J323" s="41">
        <v>42.7</v>
      </c>
      <c r="K323" s="41">
        <v>17621.83</v>
      </c>
      <c r="L323" s="43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41"/>
      <c r="C324" s="41">
        <v>20230005448</v>
      </c>
      <c r="D324" s="46" t="s">
        <v>6645</v>
      </c>
      <c r="E324" s="65" t="s">
        <v>6646</v>
      </c>
      <c r="F324" s="65"/>
      <c r="G324" s="62"/>
      <c r="H324" s="41" t="s">
        <v>254</v>
      </c>
      <c r="I324" s="41">
        <v>18</v>
      </c>
      <c r="J324" s="41">
        <v>42.8</v>
      </c>
      <c r="K324" s="41">
        <v>17400</v>
      </c>
      <c r="L324" s="43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41" t="s">
        <v>1097</v>
      </c>
      <c r="C325" s="41">
        <v>20230005507</v>
      </c>
      <c r="D325" s="46" t="s">
        <v>1002</v>
      </c>
      <c r="E325" s="64" t="s">
        <v>6647</v>
      </c>
      <c r="F325" s="64"/>
      <c r="G325" s="62"/>
      <c r="H325" s="41" t="s">
        <v>254</v>
      </c>
      <c r="I325" s="41">
        <v>19</v>
      </c>
      <c r="J325" s="41">
        <v>42.7</v>
      </c>
      <c r="K325" s="41">
        <v>16956.55</v>
      </c>
      <c r="L325" s="43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41" t="s">
        <v>4621</v>
      </c>
      <c r="C326" s="41">
        <v>20230006200</v>
      </c>
      <c r="D326" s="46" t="s">
        <v>996</v>
      </c>
      <c r="E326" s="47" t="s">
        <v>6631</v>
      </c>
      <c r="F326" s="47"/>
      <c r="G326" s="62"/>
      <c r="H326" s="41" t="s">
        <v>254</v>
      </c>
      <c r="I326" s="41">
        <v>20</v>
      </c>
      <c r="J326" s="41">
        <v>42.7</v>
      </c>
      <c r="K326" s="41">
        <v>16942.67</v>
      </c>
      <c r="L326" s="43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41" t="s">
        <v>4621</v>
      </c>
      <c r="C327" s="41">
        <v>20230006190</v>
      </c>
      <c r="D327" s="46" t="s">
        <v>990</v>
      </c>
      <c r="E327" s="65" t="s">
        <v>6648</v>
      </c>
      <c r="F327" s="65"/>
      <c r="G327" s="62"/>
      <c r="H327" s="41" t="s">
        <v>254</v>
      </c>
      <c r="I327" s="41">
        <v>21</v>
      </c>
      <c r="J327" s="41">
        <v>42.7</v>
      </c>
      <c r="K327" s="41">
        <v>16849.62</v>
      </c>
      <c r="L327" s="43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41" t="s">
        <v>1105</v>
      </c>
      <c r="C328" s="41">
        <v>20230006850</v>
      </c>
      <c r="D328" s="46" t="s">
        <v>979</v>
      </c>
      <c r="E328" s="64" t="s">
        <v>6628</v>
      </c>
      <c r="F328" s="64"/>
      <c r="G328" s="62"/>
      <c r="H328" s="41" t="s">
        <v>254</v>
      </c>
      <c r="I328" s="41">
        <v>22</v>
      </c>
      <c r="J328" s="41">
        <v>42.7</v>
      </c>
      <c r="K328" s="41">
        <v>17135</v>
      </c>
      <c r="L328" s="43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41" t="s">
        <v>1105</v>
      </c>
      <c r="C329" s="41">
        <v>20230006852</v>
      </c>
      <c r="D329" s="46" t="s">
        <v>979</v>
      </c>
      <c r="E329" s="64" t="s">
        <v>6628</v>
      </c>
      <c r="F329" s="64"/>
      <c r="G329" s="62"/>
      <c r="H329" s="41" t="s">
        <v>254</v>
      </c>
      <c r="I329" s="41">
        <v>23</v>
      </c>
      <c r="J329" s="41">
        <v>41.69</v>
      </c>
      <c r="K329" s="41">
        <v>17201.58</v>
      </c>
      <c r="L329" s="43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41" t="s">
        <v>4621</v>
      </c>
      <c r="C330" s="41">
        <v>20230006202</v>
      </c>
      <c r="D330" s="46" t="s">
        <v>969</v>
      </c>
      <c r="E330" s="40" t="s">
        <v>6649</v>
      </c>
      <c r="F330" s="40"/>
      <c r="G330" s="62"/>
      <c r="H330" s="41" t="s">
        <v>254</v>
      </c>
      <c r="I330" s="41">
        <v>24</v>
      </c>
      <c r="J330" s="41">
        <v>58.46</v>
      </c>
      <c r="K330" s="41">
        <v>19436.81</v>
      </c>
      <c r="L330" s="43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41"/>
      <c r="C331" s="41" t="s">
        <v>6500</v>
      </c>
      <c r="D331" s="46"/>
      <c r="E331" s="41" t="s">
        <v>1115</v>
      </c>
      <c r="F331" s="41"/>
      <c r="G331" s="62"/>
      <c r="H331" s="41" t="s">
        <v>361</v>
      </c>
      <c r="I331" s="41">
        <v>1</v>
      </c>
      <c r="J331" s="41">
        <v>351.53</v>
      </c>
      <c r="K331" s="41">
        <f>L331/J331</f>
        <v>113.788296873667</v>
      </c>
      <c r="L331" s="43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:15">
      <c r="L332" s="32">
        <f>SUM(L226:L331)</f>
        <v>127840195</v>
      </c>
    </row>
    <row r="333" customHeight="1" spans="1:15">
      <c r="A333" s="34" t="s">
        <v>68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C46" sqref="C46:R46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10">
      <c r="A1" s="21" t="s">
        <v>6650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6651</v>
      </c>
      <c r="B2" s="21" t="s">
        <v>6652</v>
      </c>
      <c r="C2" s="22" t="s">
        <v>6653</v>
      </c>
      <c r="D2" s="22" t="s">
        <v>6654</v>
      </c>
      <c r="E2" s="22" t="s">
        <v>6655</v>
      </c>
      <c r="F2" s="22" t="s">
        <v>6656</v>
      </c>
      <c r="G2" s="23" t="s">
        <v>6657</v>
      </c>
      <c r="H2" s="23" t="s">
        <v>6658</v>
      </c>
      <c r="J2" s="18" t="s">
        <v>6659</v>
      </c>
    </row>
    <row r="3" s="17" customFormat="1" customHeight="1" spans="1:10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10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10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10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10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10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10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10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6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6">
        <v>0.02</v>
      </c>
      <c r="J12" s="17">
        <f>H12*I12</f>
        <v>192303.44</v>
      </c>
    </row>
    <row r="13" s="17" customFormat="1" customHeight="1" spans="1:10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10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10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10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10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10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10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10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10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7" t="s">
        <v>68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19" t="s">
        <v>6660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C46" sqref="C46:R46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1178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6661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6662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6663</v>
      </c>
    </row>
    <row r="88" spans="16:16">
      <c r="P88" s="8"/>
    </row>
    <row r="89" spans="16:16">
      <c r="P89" s="8" t="s">
        <v>6664</v>
      </c>
    </row>
    <row r="90" spans="16:16">
      <c r="P90" s="8" t="s">
        <v>6663</v>
      </c>
    </row>
    <row r="91" spans="16:16">
      <c r="P91" s="8" t="s">
        <v>6665</v>
      </c>
    </row>
    <row r="92" spans="16:16">
      <c r="P92" s="8" t="s">
        <v>6663</v>
      </c>
    </row>
    <row r="93" spans="16:16">
      <c r="P93" s="8" t="s">
        <v>6663</v>
      </c>
    </row>
    <row r="94" spans="16:16">
      <c r="P94" s="8" t="s">
        <v>6663</v>
      </c>
    </row>
    <row r="95" spans="16:16">
      <c r="P95" s="8" t="s">
        <v>6663</v>
      </c>
    </row>
    <row r="96" spans="16:16">
      <c r="P96" s="8" t="s">
        <v>6663</v>
      </c>
    </row>
    <row r="97" spans="16:16">
      <c r="P97" s="8" t="s">
        <v>6663</v>
      </c>
    </row>
    <row r="98" spans="16:16">
      <c r="P98" s="8" t="s">
        <v>6663</v>
      </c>
    </row>
    <row r="99" spans="16:16">
      <c r="P99" s="8" t="s">
        <v>6663</v>
      </c>
    </row>
    <row r="100" spans="16:16">
      <c r="P100" s="8" t="s">
        <v>6663</v>
      </c>
    </row>
    <row r="101" spans="16:16">
      <c r="P101" s="8" t="s">
        <v>6663</v>
      </c>
    </row>
    <row r="102" spans="16:16">
      <c r="P102" s="8" t="s">
        <v>6663</v>
      </c>
    </row>
    <row r="103" spans="16:16">
      <c r="P103" s="8" t="s">
        <v>6663</v>
      </c>
    </row>
    <row r="104" spans="16:16">
      <c r="P104" s="8" t="s">
        <v>6663</v>
      </c>
    </row>
    <row r="105" spans="16:16">
      <c r="P105" s="8" t="s">
        <v>6663</v>
      </c>
    </row>
    <row r="106" spans="16:16">
      <c r="P106" s="8" t="s">
        <v>6661</v>
      </c>
    </row>
    <row r="107" spans="16:16">
      <c r="P107" s="8" t="s">
        <v>6663</v>
      </c>
    </row>
    <row r="108" spans="16:16">
      <c r="P108" s="8" t="s">
        <v>6666</v>
      </c>
    </row>
    <row r="109" spans="16:16">
      <c r="P109" s="8" t="s">
        <v>6667</v>
      </c>
    </row>
    <row r="110" spans="16:16">
      <c r="P110" s="8" t="s">
        <v>6667</v>
      </c>
    </row>
    <row r="111" spans="16:16">
      <c r="P111" s="8" t="s">
        <v>6667</v>
      </c>
    </row>
    <row r="112" spans="16:16">
      <c r="P112" s="8" t="s">
        <v>6667</v>
      </c>
    </row>
    <row r="113" spans="16:16">
      <c r="P113" s="8" t="s">
        <v>6667</v>
      </c>
    </row>
    <row r="114" spans="16:16">
      <c r="P114" s="8" t="s">
        <v>6667</v>
      </c>
    </row>
    <row r="115" spans="16:16">
      <c r="P115" s="8" t="s">
        <v>6667</v>
      </c>
    </row>
    <row r="116" spans="16:16">
      <c r="P116" s="8" t="s">
        <v>6667</v>
      </c>
    </row>
    <row r="117" spans="16:16">
      <c r="P117" s="8" t="s">
        <v>6667</v>
      </c>
    </row>
    <row r="118" spans="16:16">
      <c r="P118" s="8" t="s">
        <v>6667</v>
      </c>
    </row>
    <row r="119" spans="16:16">
      <c r="P119" s="8" t="s">
        <v>6667</v>
      </c>
    </row>
    <row r="120" spans="16:16">
      <c r="P120" s="8" t="s">
        <v>6667</v>
      </c>
    </row>
    <row r="121" spans="16:16">
      <c r="P121" s="8" t="s">
        <v>6667</v>
      </c>
    </row>
    <row r="122" spans="16:16">
      <c r="P122" s="8" t="s">
        <v>6667</v>
      </c>
    </row>
    <row r="123" spans="16:16">
      <c r="P123" s="8" t="s">
        <v>6667</v>
      </c>
    </row>
    <row r="124" spans="16:16">
      <c r="P124" s="8" t="s">
        <v>6667</v>
      </c>
    </row>
    <row r="125" spans="16:16">
      <c r="P125" s="8" t="s">
        <v>6667</v>
      </c>
    </row>
    <row r="126" spans="16:16">
      <c r="P126" s="8" t="s">
        <v>6667</v>
      </c>
    </row>
    <row r="127" spans="16:16">
      <c r="P127" s="8" t="s">
        <v>6667</v>
      </c>
    </row>
    <row r="128" spans="16:16">
      <c r="P128" s="8" t="s">
        <v>6667</v>
      </c>
    </row>
    <row r="129" spans="16:16">
      <c r="P129" s="8" t="s">
        <v>6667</v>
      </c>
    </row>
    <row r="130" spans="16:16">
      <c r="P130" s="8" t="s">
        <v>6667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6668</v>
      </c>
    </row>
    <row r="142" spans="16:16">
      <c r="P142" s="8" t="s">
        <v>6663</v>
      </c>
    </row>
    <row r="143" spans="16:16">
      <c r="P143" s="8" t="s">
        <v>6663</v>
      </c>
    </row>
    <row r="144" spans="16:16">
      <c r="P144" s="8" t="s">
        <v>6663</v>
      </c>
    </row>
    <row r="145" spans="16:16">
      <c r="P145" s="8" t="s">
        <v>6663</v>
      </c>
    </row>
    <row r="146" spans="16:16">
      <c r="P146" s="8" t="s">
        <v>6663</v>
      </c>
    </row>
    <row r="147" spans="16:16">
      <c r="P147" s="8" t="s">
        <v>6663</v>
      </c>
    </row>
    <row r="148" spans="16:16">
      <c r="P148" s="8" t="s">
        <v>6663</v>
      </c>
    </row>
    <row r="149" spans="16:16">
      <c r="P149" s="8" t="s">
        <v>6663</v>
      </c>
    </row>
    <row r="150" spans="16:16">
      <c r="P150" s="8" t="s">
        <v>6663</v>
      </c>
    </row>
    <row r="151" spans="16:16">
      <c r="P151" s="8" t="s">
        <v>6669</v>
      </c>
    </row>
    <row r="152" spans="16:16">
      <c r="P152" s="8" t="s">
        <v>6663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6662</v>
      </c>
    </row>
    <row r="179" spans="16:16">
      <c r="P179" s="8" t="s">
        <v>6670</v>
      </c>
    </row>
    <row r="180" spans="16:16">
      <c r="P180" s="8" t="s">
        <v>6662</v>
      </c>
    </row>
    <row r="181" spans="16:16">
      <c r="P181" s="8" t="s">
        <v>6662</v>
      </c>
    </row>
    <row r="182" spans="16:16">
      <c r="P182" s="8" t="s">
        <v>6662</v>
      </c>
    </row>
    <row r="183" spans="16:16">
      <c r="P183" s="8" t="s">
        <v>6671</v>
      </c>
    </row>
    <row r="184" spans="16:16">
      <c r="P184" s="8" t="s">
        <v>6662</v>
      </c>
    </row>
    <row r="185" spans="16:16">
      <c r="P185" s="8" t="s">
        <v>6662</v>
      </c>
    </row>
    <row r="186" spans="16:16">
      <c r="P186" s="8" t="s">
        <v>6662</v>
      </c>
    </row>
    <row r="187" spans="16:16">
      <c r="P187" s="8" t="s">
        <v>6662</v>
      </c>
    </row>
    <row r="188" spans="16:16">
      <c r="P188" s="8" t="s">
        <v>6662</v>
      </c>
    </row>
    <row r="189" spans="16:16">
      <c r="P189" s="8" t="s">
        <v>6662</v>
      </c>
    </row>
    <row r="190" spans="16:16">
      <c r="P190" s="8" t="s">
        <v>6662</v>
      </c>
    </row>
    <row r="191" spans="16:16">
      <c r="P191" s="8" t="s">
        <v>6672</v>
      </c>
    </row>
    <row r="192" spans="16:16">
      <c r="P192" s="8" t="s">
        <v>6672</v>
      </c>
    </row>
    <row r="193" spans="16:16">
      <c r="P193" s="8" t="s">
        <v>6672</v>
      </c>
    </row>
    <row r="194" spans="16:16">
      <c r="P194" s="8" t="s">
        <v>6672</v>
      </c>
    </row>
    <row r="195" spans="16:16">
      <c r="P195" s="8" t="s">
        <v>6672</v>
      </c>
    </row>
    <row r="196" spans="16:16">
      <c r="P196" s="8" t="s">
        <v>6672</v>
      </c>
    </row>
    <row r="197" spans="16:16">
      <c r="P197" s="8" t="s">
        <v>6672</v>
      </c>
    </row>
    <row r="198" spans="16:16">
      <c r="P198" s="8" t="s">
        <v>6672</v>
      </c>
    </row>
    <row r="199" spans="16:16">
      <c r="P199" s="8" t="s">
        <v>6662</v>
      </c>
    </row>
    <row r="200" spans="16:16">
      <c r="P200" s="8" t="s">
        <v>6673</v>
      </c>
    </row>
    <row r="201" spans="16:16">
      <c r="P201" s="8" t="s">
        <v>6661</v>
      </c>
    </row>
    <row r="202" spans="16:16">
      <c r="P202" s="9"/>
    </row>
    <row r="203" spans="16:16">
      <c r="P203" s="9"/>
    </row>
    <row r="204" spans="16:16">
      <c r="P204" s="8" t="s">
        <v>6673</v>
      </c>
    </row>
    <row r="205" spans="16:16">
      <c r="P205" s="8" t="s">
        <v>6673</v>
      </c>
    </row>
    <row r="206" spans="16:16">
      <c r="P206" s="8" t="s">
        <v>6673</v>
      </c>
    </row>
    <row r="207" spans="16:16">
      <c r="P207" s="8" t="s">
        <v>6673</v>
      </c>
    </row>
    <row r="208" spans="16:16">
      <c r="P208" s="8" t="s">
        <v>6673</v>
      </c>
    </row>
    <row r="209" spans="16:16">
      <c r="P209" s="8" t="s">
        <v>6673</v>
      </c>
    </row>
    <row r="210" spans="16:16">
      <c r="P210" s="8" t="s">
        <v>6673</v>
      </c>
    </row>
    <row r="211" spans="16:16">
      <c r="P211" s="8" t="s">
        <v>6673</v>
      </c>
    </row>
    <row r="212" spans="16:16">
      <c r="P212" s="8" t="s">
        <v>6673</v>
      </c>
    </row>
    <row r="213" spans="16:16">
      <c r="P213" s="8" t="s">
        <v>6673</v>
      </c>
    </row>
    <row r="214" spans="16:16">
      <c r="P214" s="8" t="s">
        <v>6673</v>
      </c>
    </row>
    <row r="215" spans="16:16">
      <c r="P215" s="8" t="s">
        <v>6673</v>
      </c>
    </row>
    <row r="216" spans="16:16">
      <c r="P216" s="8" t="s">
        <v>6673</v>
      </c>
    </row>
    <row r="217" spans="16:16">
      <c r="P217" s="8" t="s">
        <v>6673</v>
      </c>
    </row>
    <row r="218" spans="16:16">
      <c r="P218" s="8" t="s">
        <v>6673</v>
      </c>
    </row>
    <row r="219" spans="16:16">
      <c r="P219" s="8" t="s">
        <v>6673</v>
      </c>
    </row>
    <row r="220" spans="16:16">
      <c r="P220" s="8" t="s">
        <v>6662</v>
      </c>
    </row>
    <row r="221" spans="16:16">
      <c r="P221" s="8" t="s">
        <v>6662</v>
      </c>
    </row>
    <row r="222" spans="16:16">
      <c r="P222" s="9"/>
    </row>
    <row r="223" spans="16:16">
      <c r="P223" s="8" t="s">
        <v>6674</v>
      </c>
    </row>
    <row r="224" spans="16:16">
      <c r="P224" s="12" t="s">
        <v>6675</v>
      </c>
    </row>
    <row r="225" spans="16:16">
      <c r="P225" s="8" t="s">
        <v>6674</v>
      </c>
    </row>
    <row r="226" spans="16:16">
      <c r="P226" s="8" t="s">
        <v>6674</v>
      </c>
    </row>
    <row r="227" spans="16:16">
      <c r="P227" s="8" t="s">
        <v>6674</v>
      </c>
    </row>
    <row r="228" spans="16:16">
      <c r="P228" s="8" t="s">
        <v>6674</v>
      </c>
    </row>
    <row r="229" spans="16:16">
      <c r="P229" s="8" t="s">
        <v>6674</v>
      </c>
    </row>
    <row r="230" spans="16:16">
      <c r="P230" s="8" t="s">
        <v>6674</v>
      </c>
    </row>
    <row r="231" spans="16:16">
      <c r="P231" s="8" t="s">
        <v>6674</v>
      </c>
    </row>
    <row r="232" spans="16:16">
      <c r="P232" s="8" t="s">
        <v>6674</v>
      </c>
    </row>
    <row r="233" spans="16:16">
      <c r="P233" s="8" t="s">
        <v>6674</v>
      </c>
    </row>
    <row r="234" spans="16:16">
      <c r="P234" s="8" t="s">
        <v>6674</v>
      </c>
    </row>
    <row r="235" spans="16:16">
      <c r="P235" s="8" t="s">
        <v>6674</v>
      </c>
    </row>
    <row r="236" spans="16:16">
      <c r="P236" s="8" t="s">
        <v>6673</v>
      </c>
    </row>
    <row r="237" spans="16:16">
      <c r="P237" s="8" t="s">
        <v>6673</v>
      </c>
    </row>
    <row r="238" spans="16:16">
      <c r="P238" s="8" t="s">
        <v>6673</v>
      </c>
    </row>
    <row r="239" spans="16:16">
      <c r="P239" s="8" t="s">
        <v>6673</v>
      </c>
    </row>
    <row r="240" spans="16:16">
      <c r="P240" s="8" t="s">
        <v>6673</v>
      </c>
    </row>
    <row r="241" spans="16:16">
      <c r="P241" s="8" t="s">
        <v>6673</v>
      </c>
    </row>
    <row r="242" spans="16:16">
      <c r="P242" s="8" t="s">
        <v>6673</v>
      </c>
    </row>
    <row r="243" spans="16:16">
      <c r="P243" s="8" t="s">
        <v>6673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6667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6676</v>
      </c>
    </row>
    <row r="311" spans="16:16">
      <c r="P311" s="14" t="s">
        <v>6677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6678</v>
      </c>
    </row>
    <row r="316" spans="16:16">
      <c r="P316" s="8" t="s">
        <v>6678</v>
      </c>
    </row>
    <row r="317" spans="16:16">
      <c r="P317" s="8" t="s">
        <v>6678</v>
      </c>
    </row>
    <row r="318" spans="16:16">
      <c r="P318" s="8" t="s">
        <v>6678</v>
      </c>
    </row>
    <row r="319" spans="16:16">
      <c r="P319" s="8" t="s">
        <v>6678</v>
      </c>
    </row>
    <row r="320" spans="16:16">
      <c r="P320" s="8" t="s">
        <v>6678</v>
      </c>
    </row>
    <row r="321" spans="16:16">
      <c r="P321" s="8" t="s">
        <v>6678</v>
      </c>
    </row>
    <row r="322" spans="16:16">
      <c r="P322" s="8" t="s">
        <v>6678</v>
      </c>
    </row>
    <row r="323" spans="16:16">
      <c r="P323" s="8" t="s">
        <v>6678</v>
      </c>
    </row>
    <row r="324" spans="16:16">
      <c r="P324" s="8" t="s">
        <v>6678</v>
      </c>
    </row>
    <row r="325" spans="16:16">
      <c r="P325" s="8" t="s">
        <v>6678</v>
      </c>
    </row>
    <row r="326" spans="16:16">
      <c r="P326" s="8" t="s">
        <v>6674</v>
      </c>
    </row>
    <row r="327" spans="16:16">
      <c r="P327" s="8" t="s">
        <v>6674</v>
      </c>
    </row>
    <row r="328" spans="16:16">
      <c r="P328" s="8" t="s">
        <v>6674</v>
      </c>
    </row>
    <row r="329" spans="16:16">
      <c r="P329" s="8" t="s">
        <v>6674</v>
      </c>
    </row>
    <row r="330" spans="16:16">
      <c r="P330" s="8" t="s">
        <v>6674</v>
      </c>
    </row>
    <row r="331" spans="16:16">
      <c r="P331" s="8" t="s">
        <v>6678</v>
      </c>
    </row>
    <row r="332" spans="16:16">
      <c r="P332" s="8" t="s">
        <v>6674</v>
      </c>
    </row>
    <row r="333" spans="16:16">
      <c r="P333" s="15"/>
    </row>
    <row r="334" spans="16:16">
      <c r="P334" s="1" t="s">
        <v>3171</v>
      </c>
    </row>
    <row r="335" spans="16:16">
      <c r="P335" s="1" t="s">
        <v>94</v>
      </c>
    </row>
    <row r="336" spans="16:16">
      <c r="P336" s="11" t="s">
        <v>3172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6" sqref="C46:R4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64" master="" otherUserPermission="visible"/>
  <rangeList sheetStid="65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计算税金</vt:lpstr>
      <vt:lpstr>汇总表</vt:lpstr>
      <vt:lpstr>面积统计</vt:lpstr>
      <vt:lpstr>预缴增值税抵减明细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WPS_1567389243</cp:lastModifiedBy>
  <dcterms:created xsi:type="dcterms:W3CDTF">2007-05-17T10:14:00Z</dcterms:created>
  <cp:lastPrinted>2020-03-15T05:01:00Z</cp:lastPrinted>
  <dcterms:modified xsi:type="dcterms:W3CDTF">2026-04-09T02:31:23Z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