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2" activeTab="6"/>
  </bookViews>
  <sheets>
    <sheet name="与通力股份合同总计 (2)" sheetId="9" state="hidden" r:id="rId1"/>
    <sheet name="二期建安合同明细" sheetId="8" state="hidden" r:id="rId2"/>
    <sheet name="与通力股份合同总计 (3)" sheetId="10" r:id="rId3"/>
    <sheet name="一期二期面积统计" sheetId="1" r:id="rId4"/>
    <sheet name="二期税代单方面积核算" sheetId="2" r:id="rId5"/>
    <sheet name="二期开发成本凭证明细" sheetId="3" r:id="rId6"/>
    <sheet name="一期税代单方面积核算" sheetId="4" r:id="rId7"/>
    <sheet name="一期、二期片区合同汇总" sheetId="5" r:id="rId8"/>
    <sheet name="一期暂估74468409.15明细表" sheetId="6" r:id="rId9"/>
  </sheets>
  <externalReferences>
    <externalReference r:id="rId10"/>
    <externalReference r:id="rId11"/>
    <externalReference r:id="rId12"/>
    <externalReference r:id="rId13"/>
    <externalReference r:id="rId14"/>
  </externalReferences>
  <definedNames>
    <definedName name="_xlnm._FilterDatabase" localSheetId="7" hidden="1">一期、二期片区合同汇总!$A$2:$J$153</definedName>
    <definedName name="前期工程费">'[3]项目分类（不可删除）'!$B$5:$J$5</definedName>
    <definedName name="基础设施费">'[3]项目分类（不可删除）'!$B$7:$M$7</definedName>
    <definedName name="土地征用及拆迁补偿费">'[2]项目分类（不可删除）'!$B$4:$H$4</definedName>
    <definedName name="房地产开发费用">'[2]项目分类（不可删除）'!$B$10</definedName>
    <definedName name="核算项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D2" authorId="0">
      <text>
        <r>
          <rPr>
            <b/>
            <sz val="9"/>
            <rFont val="宋体"/>
            <charset val="134"/>
          </rPr>
          <t>Administrator:</t>
        </r>
        <r>
          <rPr>
            <sz val="9"/>
            <rFont val="宋体"/>
            <charset val="134"/>
          </rPr>
          <t xml:space="preserve">
重新测绘面积
</t>
        </r>
      </text>
    </comment>
    <comment ref="F2" authorId="0">
      <text>
        <r>
          <rPr>
            <b/>
            <sz val="9"/>
            <rFont val="宋体"/>
            <charset val="134"/>
          </rPr>
          <t>Administrator:</t>
        </r>
        <r>
          <rPr>
            <sz val="9"/>
            <rFont val="宋体"/>
            <charset val="134"/>
          </rPr>
          <t xml:space="preserve">
含储藏室</t>
        </r>
      </text>
    </comment>
    <comment ref="K2" authorId="0">
      <text>
        <r>
          <rPr>
            <b/>
            <sz val="9"/>
            <rFont val="宋体"/>
            <charset val="134"/>
          </rPr>
          <t>Administrator:</t>
        </r>
        <r>
          <rPr>
            <sz val="9"/>
            <rFont val="宋体"/>
            <charset val="134"/>
          </rPr>
          <t xml:space="preserve">
含储藏室829.85
24销售含储藏室：731.93
</t>
        </r>
      </text>
    </comment>
    <comment ref="K3" authorId="0">
      <text>
        <r>
          <rPr>
            <b/>
            <sz val="9"/>
            <rFont val="宋体"/>
            <charset val="134"/>
          </rPr>
          <t>Administrator:</t>
        </r>
        <r>
          <rPr>
            <sz val="9"/>
            <rFont val="宋体"/>
            <charset val="134"/>
          </rPr>
          <t xml:space="preserve">
含储藏室
1#2#3#5#7#：已售378.49
8#已售178.33</t>
        </r>
      </text>
    </comment>
  </commentList>
</comments>
</file>

<file path=xl/comments2.xml><?xml version="1.0" encoding="utf-8"?>
<comments xmlns="http://schemas.openxmlformats.org/spreadsheetml/2006/main">
  <authors>
    <author>齐彦虎</author>
  </authors>
  <commentList>
    <comment ref="D3" authorId="0">
      <text>
        <r>
          <rPr>
            <sz val="9"/>
            <rFont val="宋体"/>
            <charset val="134"/>
          </rPr>
          <t>不含储藏室</t>
        </r>
      </text>
    </comment>
    <comment ref="D15" authorId="0">
      <text>
        <r>
          <rPr>
            <sz val="9"/>
            <rFont val="宋体"/>
            <charset val="134"/>
          </rPr>
          <t>不含储藏室</t>
        </r>
      </text>
    </comment>
  </commentList>
</comments>
</file>

<file path=xl/comments3.xml><?xml version="1.0" encoding="utf-8"?>
<comments xmlns="http://schemas.openxmlformats.org/spreadsheetml/2006/main">
  <authors>
    <author>Administrator</author>
    <author>陈玮</author>
  </authors>
  <commentList>
    <comment ref="E25" authorId="0">
      <text>
        <r>
          <rPr>
            <b/>
            <sz val="9"/>
            <rFont val="宋体"/>
            <charset val="134"/>
          </rPr>
          <t>Administrator:</t>
        </r>
        <r>
          <rPr>
            <sz val="9"/>
            <rFont val="宋体"/>
            <charset val="134"/>
          </rPr>
          <t xml:space="preserve">
因面积变更，合同价由130万变更为1,381,232.86</t>
        </r>
      </text>
    </comment>
    <comment ref="E36" authorId="1">
      <text>
        <r>
          <rPr>
            <sz val="9"/>
            <rFont val="宋体"/>
            <charset val="134"/>
          </rPr>
          <t>现付：1050000
抵账：787972.5</t>
        </r>
      </text>
    </comment>
    <comment ref="E89" authorId="0">
      <text>
        <r>
          <rPr>
            <b/>
            <sz val="9"/>
            <rFont val="宋体"/>
            <charset val="134"/>
          </rPr>
          <t>Administrator:</t>
        </r>
        <r>
          <rPr>
            <sz val="9"/>
            <rFont val="宋体"/>
            <charset val="134"/>
          </rPr>
          <t xml:space="preserve">
结算价：9728元</t>
        </r>
      </text>
    </comment>
    <comment ref="E92" authorId="0">
      <text>
        <r>
          <rPr>
            <b/>
            <sz val="9"/>
            <rFont val="宋体"/>
            <charset val="134"/>
          </rPr>
          <t>Administrator:</t>
        </r>
        <r>
          <rPr>
            <sz val="9"/>
            <rFont val="宋体"/>
            <charset val="134"/>
          </rPr>
          <t xml:space="preserve">
结算价75000</t>
        </r>
      </text>
    </comment>
    <comment ref="E94" authorId="0">
      <text>
        <r>
          <rPr>
            <b/>
            <sz val="9"/>
            <rFont val="宋体"/>
            <charset val="134"/>
          </rPr>
          <t>Administrator:</t>
        </r>
        <r>
          <rPr>
            <sz val="9"/>
            <rFont val="宋体"/>
            <charset val="134"/>
          </rPr>
          <t xml:space="preserve">
24年合同金额151769
</t>
        </r>
      </text>
    </comment>
    <comment ref="E123" authorId="0">
      <text>
        <r>
          <rPr>
            <b/>
            <sz val="9"/>
            <rFont val="宋体"/>
            <charset val="134"/>
          </rPr>
          <t>Administrator:</t>
        </r>
        <r>
          <rPr>
            <sz val="9"/>
            <rFont val="宋体"/>
            <charset val="134"/>
          </rPr>
          <t xml:space="preserve">
结算价96510</t>
        </r>
      </text>
    </comment>
  </commentList>
</comments>
</file>

<file path=xl/comments4.xml><?xml version="1.0" encoding="utf-8"?>
<comments xmlns="http://schemas.openxmlformats.org/spreadsheetml/2006/main">
  <authors>
    <author>Administrator</author>
  </authors>
  <commentList>
    <comment ref="N14" authorId="0">
      <text>
        <r>
          <rPr>
            <b/>
            <sz val="9"/>
            <rFont val="宋体"/>
            <charset val="134"/>
          </rPr>
          <t>Administrator:</t>
        </r>
        <r>
          <rPr>
            <sz val="9"/>
            <rFont val="宋体"/>
            <charset val="134"/>
          </rPr>
          <t xml:space="preserve">
2025.12.55#</t>
        </r>
      </text>
    </comment>
    <comment ref="N26" authorId="0">
      <text>
        <r>
          <rPr>
            <b/>
            <sz val="9"/>
            <rFont val="宋体"/>
            <charset val="134"/>
          </rPr>
          <t>Administrator:</t>
        </r>
        <r>
          <rPr>
            <sz val="9"/>
            <rFont val="宋体"/>
            <charset val="134"/>
          </rPr>
          <t xml:space="preserve">
2025.12.55#</t>
        </r>
      </text>
    </comment>
  </commentList>
</comments>
</file>

<file path=xl/sharedStrings.xml><?xml version="1.0" encoding="utf-8"?>
<sst xmlns="http://schemas.openxmlformats.org/spreadsheetml/2006/main" count="699" uniqueCount="452">
  <si>
    <t>房产与股份合同明细</t>
  </si>
  <si>
    <t>合同名称</t>
  </si>
  <si>
    <t>合同金额</t>
  </si>
  <si>
    <t>合同修改后金额</t>
  </si>
  <si>
    <t>截止2025.11.30支付金额</t>
  </si>
  <si>
    <t>2025.12月支付</t>
  </si>
  <si>
    <t>2026.1月支付</t>
  </si>
  <si>
    <t>2026.2月支付</t>
  </si>
  <si>
    <t>2026.月支付</t>
  </si>
  <si>
    <t>配套工程</t>
  </si>
  <si>
    <t>画堂春锦苑9#-12#住宅楼、13#-15#/17#18#商业楼、非人防车库（一期）</t>
  </si>
  <si>
    <t>一期暂估金额</t>
  </si>
  <si>
    <t>建设工程施工合同 画堂春锦苑二期1#-3#5#7#住宅楼及防空地下室（二期）</t>
  </si>
  <si>
    <t>二期暂估金额</t>
  </si>
  <si>
    <t>建设工程施工合同 画堂春锦苑8#住宅楼（三期）</t>
  </si>
  <si>
    <t>画堂春锦苑4#6#住宅楼16#19#商业楼非人防车库（4-6#楼）1-3#连廊、1#直梯（五期）</t>
  </si>
  <si>
    <t>画堂春锦苑大门、电梯、连廊施工合同（四期）</t>
  </si>
  <si>
    <t>合计：</t>
  </si>
  <si>
    <t>已付：</t>
  </si>
  <si>
    <t>开发票：</t>
  </si>
  <si>
    <t>已开票未付</t>
  </si>
  <si>
    <t>截止2026.3.27</t>
  </si>
  <si>
    <t>账面：</t>
  </si>
  <si>
    <t>房产与股份合同明细暂估金额</t>
  </si>
  <si>
    <t>原合同金额</t>
  </si>
  <si>
    <t>原合同+补充协议金额</t>
  </si>
  <si>
    <t>支付合计（已开票）</t>
  </si>
  <si>
    <t>未开发发票金额</t>
  </si>
  <si>
    <t>未开发票不含税（暂估金额）</t>
  </si>
  <si>
    <t>通力股份合同</t>
  </si>
  <si>
    <t>欧总要求</t>
  </si>
  <si>
    <t>合计暂估：</t>
  </si>
  <si>
    <t>2026.4月支付</t>
  </si>
  <si>
    <t>已支付合计</t>
  </si>
  <si>
    <t>已开票未支付</t>
  </si>
  <si>
    <t>已开票金额（包括2026年5月28日的发票）</t>
  </si>
  <si>
    <t>未开票金额</t>
  </si>
  <si>
    <t>合同金额的10%</t>
  </si>
  <si>
    <t>可暂估金额（含税）</t>
  </si>
  <si>
    <t>可暂估金额</t>
  </si>
  <si>
    <t>配套</t>
  </si>
  <si>
    <t>一期</t>
  </si>
  <si>
    <t>二期</t>
  </si>
  <si>
    <t>企业要求暂估成本</t>
  </si>
  <si>
    <t>截止2026.4.30</t>
  </si>
  <si>
    <t>SHT2020165  画堂春锦苑二期1#2#住宅楼及人防地下车库（杜）</t>
  </si>
  <si>
    <t>SHT2020194  画堂春锦苑（一期）9#-12#住宅楼、13#-15#、17#、18#商业楼、非人防车库防火门、防盗门供货及安装工程</t>
  </si>
  <si>
    <t>SHT2020219  画堂春锦苑8#楼工程</t>
  </si>
  <si>
    <t>SHT2020348  画堂春锦苑一期、二期楼栋牌、单元牌、楼层牌、户室牌制作安装（14万）</t>
  </si>
  <si>
    <t>SHT2020506  画堂春锦苑9#-12#住宅楼、13#-15#/17#18#商业楼、非人防车库（一期）</t>
  </si>
  <si>
    <t>SHT2020507  画堂春锦苑附属配套工程（19253632.83元）</t>
  </si>
  <si>
    <t>SHT2020508  画堂春锦苑4#6#住宅楼16#19#商业楼非人防车库（4-6#楼）1-3#连廊、1#直梯（五期）</t>
  </si>
  <si>
    <t>SHT2020509  画堂春锦苑二期1#-3#5#7#住宅楼及防空地下室（二期）</t>
  </si>
  <si>
    <t>SHT2020528  画堂春锦苑大门、电梯、连廊施工合同（7693275.81元）</t>
  </si>
  <si>
    <t>项目</t>
  </si>
  <si>
    <t>可售面积（不含储藏室）</t>
  </si>
  <si>
    <t>储藏室面积</t>
  </si>
  <si>
    <t>可售面积（含储藏室）</t>
  </si>
  <si>
    <t>2025年末成本总计</t>
  </si>
  <si>
    <t>2025年末所得税单方成本</t>
  </si>
  <si>
    <t>2025年末已售面积（不含储藏室）</t>
  </si>
  <si>
    <t>2025年末已售面积（储藏室）</t>
  </si>
  <si>
    <t>2025年末已售面积（含储藏室）</t>
  </si>
  <si>
    <t>应确认扣除成本</t>
  </si>
  <si>
    <t>2025年已扣除成本（开发产品）</t>
  </si>
  <si>
    <t>2025年四季度应补确认结转成本</t>
  </si>
  <si>
    <t>XM202.01.01  画堂春锦苑一期（9-12（住宅），13-15#，17、 18（商业）</t>
  </si>
  <si>
    <t>XM202.01.02  画堂春锦苑二期（1.2.3.5.7.8（住宅），4.6（住宅）.16.19（商业））</t>
  </si>
  <si>
    <t>XM202.01.02  画堂春锦苑二期（账面结转成本）</t>
  </si>
  <si>
    <t>（2025.01-2025.09）172607539.97</t>
  </si>
  <si>
    <t>（2025.01-2025.12）211910726.72</t>
  </si>
  <si>
    <t>24年汇算一期可售面积</t>
  </si>
  <si>
    <t>24年汇算核定数已售面积</t>
  </si>
  <si>
    <t>重新测绘24年汇算已售面积</t>
  </si>
  <si>
    <t>一期有票结转开发产品金额</t>
  </si>
  <si>
    <t>暂估未冲金额</t>
  </si>
  <si>
    <t>合计</t>
  </si>
  <si>
    <t>2025年汇算（二期）</t>
  </si>
  <si>
    <t>账面合计</t>
  </si>
  <si>
    <t>差额</t>
  </si>
  <si>
    <t>二期账面成本</t>
  </si>
  <si>
    <t>面积及分摊比例</t>
  </si>
  <si>
    <t>总可售面积</t>
  </si>
  <si>
    <t>二期合同总金额</t>
  </si>
  <si>
    <t>二期合同暂估金额</t>
  </si>
  <si>
    <t>成本项目</t>
  </si>
  <si>
    <t>成本合计</t>
  </si>
  <si>
    <t>开发成本：</t>
  </si>
  <si>
    <t>取得土地的成本</t>
  </si>
  <si>
    <t>土地征用及拆迁补偿费</t>
  </si>
  <si>
    <t>前期工程费</t>
  </si>
  <si>
    <t>　　前期工程费</t>
  </si>
  <si>
    <t>建筑安装费</t>
  </si>
  <si>
    <t>账面暂估开发成本</t>
  </si>
  <si>
    <t>　　基础设施费</t>
  </si>
  <si>
    <t>按企业要求暂估成本</t>
  </si>
  <si>
    <t>建安成本可暂估金额</t>
  </si>
  <si>
    <t>基础设施费</t>
  </si>
  <si>
    <t>　　建筑安装工程费</t>
  </si>
  <si>
    <t>　配套设施费</t>
  </si>
  <si>
    <t>　建筑安装工程费（暂估：未支付合同金额）</t>
  </si>
  <si>
    <t>通力股份总合同二期暂估金额（税代）</t>
  </si>
  <si>
    <t>建筑安装工程费（暂估：无合同）</t>
  </si>
  <si>
    <t>25年片区二期合同暂估金额（税代）</t>
  </si>
  <si>
    <t>单位成本</t>
  </si>
  <si>
    <t>单位成本计算</t>
  </si>
  <si>
    <t>已售面积</t>
  </si>
  <si>
    <t>总开发成本</t>
  </si>
  <si>
    <t>结转主营业务成本</t>
  </si>
  <si>
    <t>账面暂估成本</t>
  </si>
  <si>
    <t>账面取得收入的成本</t>
  </si>
  <si>
    <t>2026年5月18日取得发票</t>
  </si>
  <si>
    <t>已售面积占比</t>
  </si>
  <si>
    <t>账面开发产品</t>
  </si>
  <si>
    <t>土地销项税抵减</t>
  </si>
  <si>
    <t>可结转成本</t>
  </si>
  <si>
    <t>成本结转</t>
  </si>
  <si>
    <t>已结转成本</t>
  </si>
  <si>
    <t>开发产品贷方发生额（2021-2025年12月）</t>
  </si>
  <si>
    <t>主营业务成本发生额（2021-2025年12月）</t>
  </si>
  <si>
    <t>差额原因</t>
  </si>
  <si>
    <t>需调增成本</t>
  </si>
  <si>
    <t>2024年汇算，调整以前年度损益</t>
  </si>
  <si>
    <t>土地抵减销项冲减主营业务成本</t>
  </si>
  <si>
    <t>2025年二期成本明细</t>
  </si>
  <si>
    <t>凭证号</t>
  </si>
  <si>
    <t>科目</t>
  </si>
  <si>
    <t>金额</t>
  </si>
  <si>
    <t>备注</t>
  </si>
  <si>
    <t>结转二期主营成本</t>
  </si>
  <si>
    <t>12-92#</t>
  </si>
  <si>
    <t>按合同未付款金额暂估</t>
  </si>
  <si>
    <t>4-147#</t>
  </si>
  <si>
    <t>无合同暂估</t>
  </si>
  <si>
    <t>5-121#</t>
  </si>
  <si>
    <t>4-146#</t>
  </si>
  <si>
    <t>5-124#</t>
  </si>
  <si>
    <t>6-105#</t>
  </si>
  <si>
    <t>12-93#</t>
  </si>
  <si>
    <t>6-111#</t>
  </si>
  <si>
    <t>小计</t>
  </si>
  <si>
    <t>7-78#</t>
  </si>
  <si>
    <t>7-94#</t>
  </si>
  <si>
    <t>8-95#</t>
  </si>
  <si>
    <t>4-150#</t>
  </si>
  <si>
    <t>拆迁补偿销项税额递减</t>
  </si>
  <si>
    <t>8-100#</t>
  </si>
  <si>
    <t>8-96#</t>
  </si>
  <si>
    <t>9-22#</t>
  </si>
  <si>
    <t>8-101#</t>
  </si>
  <si>
    <t>9-109#</t>
  </si>
  <si>
    <t>9-110#</t>
  </si>
  <si>
    <t>10-14#</t>
  </si>
  <si>
    <t>10-61#</t>
  </si>
  <si>
    <t>10-84#</t>
  </si>
  <si>
    <t>11-28#</t>
  </si>
  <si>
    <t>11-63#</t>
  </si>
  <si>
    <t>11-68#</t>
  </si>
  <si>
    <t>12-66#</t>
  </si>
  <si>
    <t>12-83#</t>
  </si>
  <si>
    <t>监理费</t>
  </si>
  <si>
    <t>2025年汇算</t>
  </si>
  <si>
    <t>25年年度</t>
  </si>
  <si>
    <t>25年销售一期面积</t>
  </si>
  <si>
    <t>土地拆迁补偿费总金额</t>
  </si>
  <si>
    <t>按可售面积分摊拆迁安置费（1期）</t>
  </si>
  <si>
    <t>按可售面积分摊拆迁安置费（2期）</t>
  </si>
  <si>
    <t>一期合同总额</t>
  </si>
  <si>
    <t>暂估合同金额（10%）</t>
  </si>
  <si>
    <t>开发产品-土地成本</t>
  </si>
  <si>
    <t>合同总额</t>
  </si>
  <si>
    <t>其中：分摊成本</t>
  </si>
  <si>
    <t>账面建安成本</t>
  </si>
  <si>
    <t>其中：专属成本</t>
  </si>
  <si>
    <t>账面配套成本</t>
  </si>
  <si>
    <t>开发间接费</t>
  </si>
  <si>
    <t>根据合同总额全额暂估</t>
  </si>
  <si>
    <t>通力股份合同总额</t>
  </si>
  <si>
    <t>其中：土地成本</t>
  </si>
  <si>
    <t>其中：其他成本</t>
  </si>
  <si>
    <t>39643.5040083018</t>
  </si>
  <si>
    <t>账面取得发票的成本</t>
  </si>
  <si>
    <t>731.93储藏室</t>
  </si>
  <si>
    <t>可抵减土地成本</t>
  </si>
  <si>
    <t>土地成本抵减销项税</t>
  </si>
  <si>
    <t>已抵减</t>
  </si>
  <si>
    <t>红冲多预提成本</t>
  </si>
  <si>
    <t>通过以前年度损益调整科目做调减</t>
  </si>
  <si>
    <t>红冲多结转成本</t>
  </si>
  <si>
    <t>2024年库尔勒片区合同汇总表</t>
  </si>
  <si>
    <t>序号</t>
  </si>
  <si>
    <t>审定时间</t>
  </si>
  <si>
    <t>合同对应的成本对象</t>
  </si>
  <si>
    <t>合同金额（元）</t>
  </si>
  <si>
    <t>税率</t>
  </si>
  <si>
    <t>不含税价</t>
  </si>
  <si>
    <t>未付款</t>
  </si>
  <si>
    <t>入账金额</t>
  </si>
  <si>
    <t>2022.3.17</t>
  </si>
  <si>
    <t>画堂春锦苑一期</t>
  </si>
  <si>
    <t>岩土工程勘察、水文地质勘察（含凿井）工程测量、工程物探
12栋住宅、8栋商业、1栋幼儿园、1栋社区管理及配套用房</t>
  </si>
  <si>
    <t>2022.7.11</t>
  </si>
  <si>
    <t>画堂春锦苑（一期基坑、9#11#楼之间机械停车位）基坑变形监测、9#楼、11#楼沉降观测</t>
  </si>
  <si>
    <t>2022.11.28</t>
  </si>
  <si>
    <t>画堂春锦苑9#-12#住宅楼、13#-15#/17#18#商业楼、非人防车库 房屋面积测绘</t>
  </si>
  <si>
    <t>画堂春锦苑项目景观设计</t>
  </si>
  <si>
    <t>画堂春锦9#-12#14#楼基坑支护设计 开挖基坑</t>
  </si>
  <si>
    <t>画堂春锦苑9#11#楼之间机械停车库基坑支护</t>
  </si>
  <si>
    <t>2023.4.15</t>
  </si>
  <si>
    <t>画堂春锦苑二期住宅</t>
  </si>
  <si>
    <t>画堂春锦苑二期（1#-8#基坑支护、1#3#楼之间、5#7#之间机械停车库基坑支护、7#-9#之间机械停车库基坑支护）基坑变形检测、沉降观测、1#2#3#5#7#楼沉降观测</t>
  </si>
  <si>
    <t>画堂春锦苑二期1#-8#库基坑支护设计</t>
  </si>
  <si>
    <t>画堂春锦苑二期1#3#之间、5#7#之间7#9#之间机械停车库基坑支护</t>
  </si>
  <si>
    <t>2023.4.5</t>
  </si>
  <si>
    <t>画堂春锦苑二期</t>
  </si>
  <si>
    <t>画堂春锦苑1#幼儿园之间、1#3#之间3#5#之间7#9#之间机械停车库基坑支护</t>
  </si>
  <si>
    <t>画堂春锦苑</t>
  </si>
  <si>
    <t>44号小区勘界费</t>
  </si>
  <si>
    <t>6#8#建筑红线图</t>
  </si>
  <si>
    <t>画堂春锦苑6#8#楼施工图审查费</t>
  </si>
  <si>
    <t>画堂春锦施工图审查费</t>
  </si>
  <si>
    <t>画堂春锦苑1非、3#4非5非7非16#19#楼图纸审查</t>
  </si>
  <si>
    <t>画堂春锦苑2#楼施工图审查</t>
  </si>
  <si>
    <t>画堂春锦苑二期基础变更图纸审查</t>
  </si>
  <si>
    <t>2021.7.26</t>
  </si>
  <si>
    <t>画堂春锦苑（二期）</t>
  </si>
  <si>
    <t>44号地块项目</t>
  </si>
  <si>
    <t>2022.3.26</t>
  </si>
  <si>
    <t>画堂春锦苑防空地下室（二期）</t>
  </si>
  <si>
    <t>画堂春锦苑防空地下室</t>
  </si>
  <si>
    <t>已入账132053.09</t>
  </si>
  <si>
    <t>2022.4.12</t>
  </si>
  <si>
    <t>画堂春锦苑建设项目（画堂春锦苑一期9#11#13#15#18#及非人防地下车库、6#8#）</t>
  </si>
  <si>
    <t>130万已经暂估</t>
  </si>
  <si>
    <t>2023.4.3</t>
  </si>
  <si>
    <t>画堂春锦变更（1#-8#楼节能变更17#一层轴5-8轴变更）</t>
  </si>
  <si>
    <t>2023.3.17</t>
  </si>
  <si>
    <t>画堂春锦苑-17#楼一层5轴- -8轴消防改造</t>
  </si>
  <si>
    <t>画堂春锦苑-1#2#3#4#5#6#7#8#楼节能改造</t>
  </si>
  <si>
    <t>公共（二期）</t>
  </si>
  <si>
    <t>1#2#出入口、1#5#7#基础优化、14#17#18#内部优化、4#6#地下车库变更</t>
  </si>
  <si>
    <t>2023.8.11</t>
  </si>
  <si>
    <t>画堂春锦苑室外管网及配套</t>
  </si>
  <si>
    <t>2023.6.25</t>
  </si>
  <si>
    <t>画堂春锦苑-14#楼地下室变更</t>
  </si>
  <si>
    <t>画堂春锦苑园林景观设计</t>
  </si>
  <si>
    <t>发票已开</t>
  </si>
  <si>
    <t>画堂春锦苑地形图费</t>
  </si>
  <si>
    <t>画堂春锦苑建筑红线图</t>
  </si>
  <si>
    <t>2021.3.12</t>
  </si>
  <si>
    <t>44号小区拆迁建筑垃圾清运</t>
  </si>
  <si>
    <t>2021.12.17</t>
  </si>
  <si>
    <t>44#小区围挡制作</t>
  </si>
  <si>
    <t>画堂春锦苑8#办理施工许可证 缴纳保函费</t>
  </si>
  <si>
    <t>2022.4.11</t>
  </si>
  <si>
    <t>建设工程监理合同
画堂春锦苑9.10.11.12.13.14.15.17.18号楼</t>
  </si>
  <si>
    <t>2022.6.18</t>
  </si>
  <si>
    <t>画堂春锦苑9#-12#住宅楼、13#-15#/17#18#商业楼、非人防车库</t>
  </si>
  <si>
    <t>画堂春锦苑一期商业</t>
  </si>
  <si>
    <t>画堂春锦苑13/14/15/17/18号楼外立面幕墙</t>
  </si>
  <si>
    <t>画堂春锦苑（一期）</t>
  </si>
  <si>
    <t>画堂春锦施工用电工程施工合同</t>
  </si>
  <si>
    <t>水土保持方案编制合同</t>
  </si>
  <si>
    <t>2023.1.13</t>
  </si>
  <si>
    <t>画堂春锦苑17#18#号楼天然气安装工程委托建设管理协议书</t>
  </si>
  <si>
    <t>画堂春锦苑17#18#楼天然气安装</t>
  </si>
  <si>
    <t>2023.6.1</t>
  </si>
  <si>
    <t>画堂春锦苑9-12#楼天然气安装工程委托建设管理协议书-</t>
  </si>
  <si>
    <t>2023.10.30</t>
  </si>
  <si>
    <t>建设工程规划设计合同</t>
  </si>
  <si>
    <t>2023.8.4</t>
  </si>
  <si>
    <t>画堂春锦苑二期8#楼</t>
  </si>
  <si>
    <t>建设工程施工合同 画堂春锦苑8#住宅楼</t>
  </si>
  <si>
    <t>2023.3.10</t>
  </si>
  <si>
    <t>建设工程施工合同 画堂春锦苑二期1#-3#5#7#住宅楼及防空地下室</t>
  </si>
  <si>
    <t>2023.10.11</t>
  </si>
  <si>
    <t>画堂春锦苑项目商业街二层连廊及室外直梯钢结构深化设计工程</t>
  </si>
  <si>
    <t>建设工程施工合同 画堂春锦苑8#住宅楼监理合同</t>
  </si>
  <si>
    <t>已入账34168.64</t>
  </si>
  <si>
    <t>2023.3.8</t>
  </si>
  <si>
    <t>建设工程施工合同 画堂春锦苑二期1#-3#5#7#住宅楼及防空地下室监理合同</t>
  </si>
  <si>
    <t>已入账283506.8</t>
  </si>
  <si>
    <t>2023.9.5</t>
  </si>
  <si>
    <t>画堂春锦苑变压器设备采购安装及维修施工合同</t>
  </si>
  <si>
    <t>2023.8.31</t>
  </si>
  <si>
    <t>画堂春锦苑电缆采购合同</t>
  </si>
  <si>
    <t>2023.11.14</t>
  </si>
  <si>
    <t>画堂春锦苑二期住宅8#楼</t>
  </si>
  <si>
    <t>画堂春锦苑8#楼住宅楼13-15#商业楼 房产面积测量</t>
  </si>
  <si>
    <t>2023.12.1</t>
  </si>
  <si>
    <t>画堂春锦苑土方分包合同</t>
  </si>
  <si>
    <t>2023.6.12</t>
  </si>
  <si>
    <t>画堂春锦苑展示区门头改造、精神堡垒新建工程</t>
  </si>
  <si>
    <t>2023.6.2</t>
  </si>
  <si>
    <t>画堂春锦苑展示区驻车器购买安装工程</t>
  </si>
  <si>
    <t>44#小区拆迁户地面附着物测绘费</t>
  </si>
  <si>
    <t>画堂春锦苑” 2#、5#、7#住宅楼房产测绘</t>
  </si>
  <si>
    <t>2024.1.4</t>
  </si>
  <si>
    <t>画堂春锦苑9新华路大门、香梨大道大门）</t>
  </si>
  <si>
    <t>已入账41584.16</t>
  </si>
  <si>
    <t>2024.1.12</t>
  </si>
  <si>
    <t>画堂春锦苑（画堂春锦苑小区连廊、直梯、门斗、雨棚项目）</t>
  </si>
  <si>
    <t>已入账95049.5</t>
  </si>
  <si>
    <t>2024.1.15</t>
  </si>
  <si>
    <t>公共</t>
  </si>
  <si>
    <t>画堂春锦苑小区连廊、直梯、门斗、雨棚项目 工程勘察设计</t>
  </si>
  <si>
    <t>2024.3.5</t>
  </si>
  <si>
    <t>画堂春锦苑13/14/15号楼天然气安装工程</t>
  </si>
  <si>
    <t>画堂春锦苑123578号楼天然气安装</t>
  </si>
  <si>
    <t>画堂春锦苑建设项目（6#楼二次设计、16#楼地下室变更、1#变配电室、2#配电室）</t>
  </si>
  <si>
    <t>画堂春锦苑三期</t>
  </si>
  <si>
    <t>画堂春锦苑4#6#住宅楼16#19#商业楼非人防车库（4-6#楼）1-3#连廊、1#直梯</t>
  </si>
  <si>
    <t>画堂春锦苑4#6#住宅楼16#19#商业楼非人防车库（4-6#楼）1-3#连廊、1#直梯监理费</t>
  </si>
  <si>
    <t>已入账107959.06</t>
  </si>
  <si>
    <t>南天城建站台拆挪项目施工合同</t>
  </si>
  <si>
    <t>画堂春锦苑大门、电梯、连廊施工合同</t>
  </si>
  <si>
    <t>画堂春锦苑项目14楼天然气安装</t>
  </si>
  <si>
    <t>画堂春锦苑新华路开设路口绿化带迁移树木 赔偿费用</t>
  </si>
  <si>
    <t>画堂春锦13.14.15.17.18#楼幕墙外装修施工图 审查</t>
  </si>
  <si>
    <t>画堂春锦苑小区连廊、直梯、门斗、雨棚项目 施工图审查费</t>
  </si>
  <si>
    <t>画堂春锦苑小区连廊、直梯、门斗、雨棚项目 测绘费（审图中心要求提供红线图）</t>
  </si>
  <si>
    <t>画堂春锦苑项目16#楼地下室变更、6#楼、非人防车库施工图审查费</t>
  </si>
  <si>
    <t>画堂春锦苑1#3#楼房产测绘费</t>
  </si>
  <si>
    <t>画堂春锦苑一期9-12#楼地名标牌制作费</t>
  </si>
  <si>
    <t>画堂春锦售房部 搭设安全防护围栏 缴纳占道费</t>
  </si>
  <si>
    <t>南大门</t>
  </si>
  <si>
    <t>画堂春锦苑东大门、南大门、4-6#楼连廊基础变更施工图审查费</t>
  </si>
  <si>
    <t>画堂春锦苑14号楼下沉庭院天然气工程款</t>
  </si>
  <si>
    <t>画堂春锦苑13-15#楼外墙工程</t>
  </si>
  <si>
    <t>已入账135000</t>
  </si>
  <si>
    <t>画堂春锦苑9-15#、17-18#楼规划竣工测量费</t>
  </si>
  <si>
    <t>2024.5.17</t>
  </si>
  <si>
    <t>画堂春锦苑二期公共区域装修设计合同</t>
  </si>
  <si>
    <t>已入账38834.95</t>
  </si>
  <si>
    <t>画堂春锦苑13#14#15#商业楼天然气表数量增加壁挂炉间23个，安装J4表23个（131870.79元）</t>
  </si>
  <si>
    <t>2024.8.23</t>
  </si>
  <si>
    <t>公共配套</t>
  </si>
  <si>
    <t>画堂春锦苑消防控制室空调采购及安装合同</t>
  </si>
  <si>
    <t>画堂春锦苑项目一期设备间标识标牌制作安装专业施工分包合同</t>
  </si>
  <si>
    <t>已入账</t>
  </si>
  <si>
    <t>画堂春锦苑项目一期9#-12#13#14#15#17#18#楼用地测量费用</t>
  </si>
  <si>
    <t>画堂春锦苑一期交付围挡拆除及搭设工程</t>
  </si>
  <si>
    <t>二期建安工程费</t>
  </si>
  <si>
    <t>画堂春锦苑大门、连廊、电梯工程监理项目监理费（2万）</t>
  </si>
  <si>
    <t>画堂春锦苑一期住宅亮化工程</t>
  </si>
  <si>
    <t>画堂春锦苑一期13-15/17/18楼新增亮化施工</t>
  </si>
  <si>
    <t>画堂春锦苑一期13-15/17/18楼亮化施工</t>
  </si>
  <si>
    <t>2024.9.3</t>
  </si>
  <si>
    <t>画堂春锦苑项目-设备机房岩土工程勘察</t>
  </si>
  <si>
    <t>2024.9.1</t>
  </si>
  <si>
    <t>画堂春锦苑项目16#楼基坑支护</t>
  </si>
  <si>
    <t>画堂春锦苑14#17#楼商业烟道工程专业施工合同</t>
  </si>
  <si>
    <t>画堂春锦苑15#18#楼商业烟道工程专业施工合同</t>
  </si>
  <si>
    <t>画堂春锦苑1-5#16#19#建筑红线图测绘费</t>
  </si>
  <si>
    <t>画堂春锦苑基坑支护施工图审查费</t>
  </si>
  <si>
    <t>画堂春锦苑一期售楼部</t>
  </si>
  <si>
    <t>画堂春锦苑 17#楼售房部内装修设计费</t>
  </si>
  <si>
    <t>画堂春锦苑项目南大门开路口</t>
  </si>
  <si>
    <t>画堂春锦苑县市占用费（临时基建占道费）</t>
  </si>
  <si>
    <t>拆迁费</t>
  </si>
  <si>
    <t>缴纳配套费</t>
  </si>
  <si>
    <t>支画堂春锦苑设计公示费</t>
  </si>
  <si>
    <t>画堂春锦苑项目红线图</t>
  </si>
  <si>
    <t>项目用地蓝线图</t>
  </si>
  <si>
    <t>画堂春锦苑供水管道安装</t>
  </si>
  <si>
    <t>通力库尔勒分公司垫付44#小区土地测绘费</t>
  </si>
  <si>
    <t>画堂春锦苑商业街美陈采购及安装工程</t>
  </si>
  <si>
    <t>公共配套（二期）</t>
  </si>
  <si>
    <t>画堂春锦苑游泳池设备房设备安装工程专业施工分包合同</t>
  </si>
  <si>
    <t>已入账151456.31</t>
  </si>
  <si>
    <t>画堂春锦苑4#6#住宅楼16#19#商业楼房产测绘项目</t>
  </si>
  <si>
    <t>画堂春锦苑竣工测量建设项目测绘技术服务</t>
  </si>
  <si>
    <t>画堂春锦苑隔离墩采购及安装合同</t>
  </si>
  <si>
    <t>入账9075.74</t>
  </si>
  <si>
    <t>房产测绘合同</t>
  </si>
  <si>
    <t>画堂春锦苑停车设备采购及安装工程专业施工成本合同</t>
  </si>
  <si>
    <t>已入账57106.8</t>
  </si>
  <si>
    <t>地名数字门牌制作合同</t>
  </si>
  <si>
    <t>公共配套(二期）</t>
  </si>
  <si>
    <t>画堂春锦苑IC卡单项付费电表采购</t>
  </si>
  <si>
    <t>画堂春锦苑游泳池设备用房桩基基础施工工程专业施工承包合同</t>
  </si>
  <si>
    <t>画堂春锦苑二期交付围挡工程专业施工分包合同</t>
  </si>
  <si>
    <t>已入账84113.76</t>
  </si>
  <si>
    <t>画堂春锦苑13#14#16#17#19#商业电梯监控采购及安装工程专业施工承包合同</t>
  </si>
  <si>
    <t>画堂春锦苑挑檐防水维修（局部）工程专业施工分包合同（13#-15#17#18#）</t>
  </si>
  <si>
    <t>画堂春锦苑停车护栏采购及安装工程专业施工承包合同</t>
  </si>
  <si>
    <t>画堂春锦苑门斗亮化工程专业施工承包合同（1-12#楼门斗亮化）</t>
  </si>
  <si>
    <t>已入账62834.95</t>
  </si>
  <si>
    <t>画堂春锦苑小区大门、连廊的基础变更项目</t>
  </si>
  <si>
    <t>画堂春锦苑小区16#楼19#楼幕墙项目</t>
  </si>
  <si>
    <t>44#小区画堂春锦苑坑基变形检测、沉降观测</t>
  </si>
  <si>
    <t>画堂春锦苑小区大门项目东大门（消防控制室、值班室）连廊 直梯基础变更审图费</t>
  </si>
  <si>
    <t>画堂春锦苑停车场改造专业施工承包合同</t>
  </si>
  <si>
    <t>基础设施费（二期）</t>
  </si>
  <si>
    <t>画堂春锦苑项目停车场划线及驻车器采购及安装工程专业施工承包合同</t>
  </si>
  <si>
    <t>已入账37106.42</t>
  </si>
  <si>
    <t>画堂春锦苑围挡广告布制作、安装专业施工承包合同</t>
  </si>
  <si>
    <t>已付款6400入当期费用</t>
  </si>
  <si>
    <t>画堂春锦苑2#4#6#8#16#19#楼亮化工程专业施工承包合同</t>
  </si>
  <si>
    <t>画堂春锦苑小区大门项目16#、19#楼幕墙工程审图费</t>
  </si>
  <si>
    <t xml:space="preserve">画堂春锦苑1、2、3、5、7#楼竣工基底面积测量费 </t>
  </si>
  <si>
    <t>画堂春锦苑二期三期给水工程</t>
  </si>
  <si>
    <t>画堂春锦苑停车场监控采购及安装工程专业施工承包合同</t>
  </si>
  <si>
    <t>画堂春锦苑项目4#6#楼天然气管道安装工程</t>
  </si>
  <si>
    <t>画堂春锦苑项目16#19#楼天然气管道安装工程</t>
  </si>
  <si>
    <t>画堂春锦苑8#楼土地勘界合同</t>
  </si>
  <si>
    <t>6%%</t>
  </si>
  <si>
    <t>画堂春锦苑16#楼燃气管道改造</t>
  </si>
  <si>
    <t>画堂春锦苑4#6#16#19#楼测绘技术服务合同</t>
  </si>
  <si>
    <t>1%%</t>
  </si>
  <si>
    <t>画堂春锦苑17#18#楼挑檐防水（局部）工程</t>
  </si>
  <si>
    <t>画堂春锦苑地下车库房屋面积测绘</t>
  </si>
  <si>
    <t>建材采购合同</t>
  </si>
  <si>
    <t>画堂春锦苑8#楼测绘</t>
  </si>
  <si>
    <t>支画堂春锦苑项目用地蓝线图</t>
  </si>
  <si>
    <t>二期片区合同暂估金额</t>
  </si>
  <si>
    <t>一期片区合同未暂估金额</t>
  </si>
  <si>
    <t>一期片区合同24年已暂估金额</t>
  </si>
  <si>
    <t>工程名称</t>
  </si>
  <si>
    <t>合同价</t>
  </si>
  <si>
    <t>现金已支付</t>
  </si>
  <si>
    <t>抵账已支付</t>
  </si>
  <si>
    <t>合同未付款</t>
  </si>
  <si>
    <t>已付款不含税金额</t>
  </si>
  <si>
    <t>合同总价不含税</t>
  </si>
  <si>
    <t>2024年四季度暂估成本数</t>
  </si>
  <si>
    <t>已取得房票</t>
  </si>
  <si>
    <t>画堂春锦苑10、12、14、15、17、18#建设工程</t>
  </si>
  <si>
    <t>画堂春锦苑17、18#楼商业展示区园林景观工程（杜奇志）</t>
  </si>
  <si>
    <t>画堂春锦苑9、11、13#楼及地下车库工程建设工程</t>
  </si>
  <si>
    <t>画堂春锦苑17#、18#楼外墙装饰工程（刘品全）</t>
  </si>
  <si>
    <t>画堂春锦苑一期消防工程（建邦消防 巩红卫）</t>
  </si>
  <si>
    <t>画堂春锦苑13、14、15、17、18#楼铝合金门窗制作安装工程</t>
  </si>
  <si>
    <t>画堂春锦苑9#10#11#12#楼铝合金门窗制作安装工程</t>
  </si>
  <si>
    <t>画堂春锦9-12#楼、13、14、17#商业楼电梯供货及安装工程</t>
  </si>
  <si>
    <t>画堂春锦苑一期9#-12#、13#-15#17#18#、非人防车库 防火门、防盗门供货及安装（施 ）</t>
  </si>
  <si>
    <t>画堂春锦苑展示区水景改造工程!A1</t>
  </si>
  <si>
    <t>画堂春锦苑一期变配电（正式用电）工程'!A1</t>
  </si>
  <si>
    <t>画堂春锦一期（9#-12#住宅楼13#-15#17#18#商业楼）室外管网（杜奇志）</t>
  </si>
  <si>
    <t>画堂春锦一期园林景观（杜奇志）</t>
  </si>
  <si>
    <t>画堂春锦苑小区一期公共部位及门斗内装修工程!A1</t>
  </si>
  <si>
    <t>画堂春锦苑一期直梯、门斗、雨棚、连廊 外饰面装修 铝板（江通海）</t>
  </si>
  <si>
    <t>画堂春锦苑项目一期13#15#楼外墙装修工程（金克）</t>
  </si>
  <si>
    <t>画堂春锦苑项目一期14#楼外墙装修工程（倪大伟）</t>
  </si>
  <si>
    <t>画堂春锦苑项目一期机械车位设备采购与安装（大洋泊车）'!A1</t>
  </si>
  <si>
    <t>画堂春锦苑一期弱电工程</t>
  </si>
  <si>
    <t>未预提冲减成本</t>
  </si>
  <si>
    <t>画堂春锦苑项目玻璃栏板，采光井制作安装（120万元）</t>
  </si>
  <si>
    <t>画堂春锦苑17#楼售房部一楼内装修工程款</t>
  </si>
  <si>
    <t>画堂春锦苑一期三网合一FTTH工程款</t>
  </si>
  <si>
    <t>画堂春锦苑看房通道塔设工程</t>
  </si>
  <si>
    <t>画堂春锦苑一期二期楼栋牌、单元牌、楼层牌、户室外牌安装工程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</si>
</sst>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yyyy/m/d;@"/>
    <numFmt numFmtId="179" formatCode="#,##0_);[Red]\(#,##0\)"/>
  </numFmts>
  <fonts count="45">
    <font>
      <sz val="11"/>
      <color theme="1"/>
      <name val="宋体"/>
      <charset val="134"/>
      <scheme val="minor"/>
    </font>
    <font>
      <sz val="10"/>
      <color theme="1"/>
      <name val="宋体"/>
      <charset val="134"/>
    </font>
    <font>
      <b/>
      <sz val="10"/>
      <color theme="1"/>
      <name val="宋体"/>
      <charset val="134"/>
    </font>
    <font>
      <sz val="10"/>
      <color theme="1"/>
      <name val="宋体"/>
      <charset val="134"/>
      <scheme val="minor"/>
    </font>
    <font>
      <b/>
      <sz val="16"/>
      <color theme="1"/>
      <name val="宋体"/>
      <charset val="134"/>
    </font>
    <font>
      <u/>
      <sz val="10"/>
      <color rgb="FF800080"/>
      <name val="宋体"/>
      <charset val="134"/>
    </font>
    <font>
      <u/>
      <sz val="10"/>
      <color rgb="FF800080"/>
      <name val="宋体"/>
      <charset val="134"/>
      <scheme val="minor"/>
    </font>
    <font>
      <sz val="10"/>
      <color rgb="FF800080"/>
      <name val="宋体"/>
      <charset val="134"/>
      <scheme val="minor"/>
    </font>
    <font>
      <sz val="11"/>
      <name val="宋体"/>
      <charset val="134"/>
    </font>
    <font>
      <b/>
      <sz val="14"/>
      <name val="宋体"/>
      <charset val="134"/>
    </font>
    <font>
      <b/>
      <sz val="11"/>
      <name val="宋体"/>
      <charset val="134"/>
    </font>
    <font>
      <sz val="11"/>
      <color rgb="FFFF0000"/>
      <name val="宋体"/>
      <charset val="134"/>
    </font>
    <font>
      <sz val="11"/>
      <color theme="1"/>
      <name val="宋体"/>
      <charset val="134"/>
    </font>
    <font>
      <b/>
      <sz val="12"/>
      <name val="宋体"/>
      <charset val="134"/>
    </font>
    <font>
      <sz val="10.5"/>
      <name val="宋体"/>
      <charset val="134"/>
    </font>
    <font>
      <b/>
      <sz val="10"/>
      <color theme="1"/>
      <name val="宋体"/>
      <charset val="134"/>
      <scheme val="minor"/>
    </font>
    <font>
      <sz val="11"/>
      <color indexed="8"/>
      <name val="宋体"/>
      <charset val="134"/>
      <scheme val="minor"/>
    </font>
    <font>
      <sz val="12"/>
      <name val="宋体"/>
      <charset val="134"/>
    </font>
    <font>
      <sz val="10"/>
      <color rgb="FFFF0000"/>
      <name val="宋体"/>
      <charset val="134"/>
    </font>
    <font>
      <sz val="11"/>
      <color rgb="FFFF0000"/>
      <name val="宋体"/>
      <charset val="134"/>
      <scheme val="minor"/>
    </font>
    <font>
      <sz val="10"/>
      <color rgb="FF00B050"/>
      <name val="宋体"/>
      <charset val="134"/>
    </font>
    <font>
      <sz val="9"/>
      <color rgb="FF000000"/>
      <name val="Microsoft YaHei UI"/>
      <charset val="134"/>
    </font>
    <font>
      <b/>
      <sz val="11"/>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46">
    <fill>
      <patternFill patternType="none"/>
    </fill>
    <fill>
      <patternFill patternType="gray125"/>
    </fill>
    <fill>
      <patternFill patternType="solid">
        <fgColor rgb="FFFFC000"/>
        <bgColor indexed="64"/>
      </patternFill>
    </fill>
    <fill>
      <patternFill patternType="solid">
        <fgColor rgb="FFC00000"/>
        <bgColor indexed="64"/>
      </patternFill>
    </fill>
    <fill>
      <patternFill patternType="solid">
        <fgColor rgb="FF92D050"/>
        <bgColor indexed="64"/>
      </patternFill>
    </fill>
    <fill>
      <patternFill patternType="solid">
        <fgColor theme="6" tint="0.4"/>
        <bgColor indexed="64"/>
      </patternFill>
    </fill>
    <fill>
      <patternFill patternType="solid">
        <fgColor theme="4" tint="0.4"/>
        <bgColor indexed="64"/>
      </patternFill>
    </fill>
    <fill>
      <patternFill patternType="solid">
        <fgColor rgb="FFFFFF00"/>
        <bgColor indexed="64"/>
      </patternFill>
    </fill>
    <fill>
      <patternFill patternType="solid">
        <fgColor rgb="FF00B050"/>
        <bgColor indexed="64"/>
      </patternFill>
    </fill>
    <fill>
      <patternFill patternType="solid">
        <fgColor rgb="FFF79646"/>
        <bgColor indexed="64"/>
      </patternFill>
    </fill>
    <fill>
      <patternFill patternType="solid">
        <fgColor theme="3" tint="0.599993896298105"/>
        <bgColor indexed="64"/>
      </patternFill>
    </fill>
    <fill>
      <patternFill patternType="solid">
        <fgColor theme="0" tint="-0.149998474074526"/>
        <bgColor indexed="64"/>
      </patternFill>
    </fill>
    <fill>
      <patternFill patternType="solid">
        <fgColor theme="9"/>
        <bgColor indexed="64"/>
      </patternFill>
    </fill>
    <fill>
      <patternFill patternType="solid">
        <fgColor rgb="FFF0F0F0"/>
        <bgColor indexed="64"/>
      </patternFill>
    </fill>
    <fill>
      <patternFill patternType="solid">
        <fgColor rgb="FFFFFFFF"/>
        <bgColor indexed="64"/>
      </patternFill>
    </fill>
    <fill>
      <patternFill patternType="solid">
        <fgColor theme="6"/>
        <bgColor indexed="64"/>
      </patternFill>
    </fill>
    <fill>
      <patternFill patternType="solid">
        <fgColor theme="9"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0"/>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808080"/>
      </left>
      <right/>
      <top style="thin">
        <color rgb="FF808080"/>
      </top>
      <bottom/>
      <diagonal/>
    </border>
    <border>
      <left style="thin">
        <color rgb="FF808080"/>
      </left>
      <right/>
      <top style="thin">
        <color rgb="FF808080"/>
      </top>
      <bottom style="thin">
        <color rgb="FF808080"/>
      </bottom>
      <diagonal/>
    </border>
    <border>
      <left style="thin">
        <color auto="1"/>
      </left>
      <right style="thin">
        <color auto="1"/>
      </right>
      <top style="thin">
        <color auto="1"/>
      </top>
      <bottom/>
      <diagonal/>
    </border>
    <border>
      <left style="thin">
        <color rgb="FF808080"/>
      </left>
      <right style="thin">
        <color rgb="FF808080"/>
      </right>
      <top style="thin">
        <color rgb="FF80808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4" fillId="0" borderId="0">
      <alignment vertical="center"/>
    </xf>
    <xf numFmtId="0" fontId="25" fillId="0" borderId="0">
      <alignment vertical="center"/>
    </xf>
    <xf numFmtId="0" fontId="0" fillId="17" borderId="27">
      <alignment vertical="center"/>
    </xf>
    <xf numFmtId="0" fontId="26" fillId="0" borderId="0">
      <alignment vertical="center"/>
    </xf>
    <xf numFmtId="0" fontId="27" fillId="0" borderId="0">
      <alignment vertical="center"/>
    </xf>
    <xf numFmtId="0" fontId="28" fillId="0" borderId="0">
      <alignment vertical="center"/>
    </xf>
    <xf numFmtId="0" fontId="29" fillId="0" borderId="28">
      <alignment vertical="center"/>
    </xf>
    <xf numFmtId="0" fontId="30" fillId="0" borderId="28">
      <alignment vertical="center"/>
    </xf>
    <xf numFmtId="0" fontId="31" fillId="0" borderId="29">
      <alignment vertical="center"/>
    </xf>
    <xf numFmtId="0" fontId="31" fillId="0" borderId="0">
      <alignment vertical="center"/>
    </xf>
    <xf numFmtId="0" fontId="32" fillId="18" borderId="30">
      <alignment vertical="center"/>
    </xf>
    <xf numFmtId="0" fontId="33" fillId="19" borderId="31">
      <alignment vertical="center"/>
    </xf>
    <xf numFmtId="0" fontId="34" fillId="19" borderId="30">
      <alignment vertical="center"/>
    </xf>
    <xf numFmtId="0" fontId="35" fillId="20" borderId="32">
      <alignment vertical="center"/>
    </xf>
    <xf numFmtId="0" fontId="36" fillId="0" borderId="33">
      <alignment vertical="center"/>
    </xf>
    <xf numFmtId="0" fontId="37" fillId="0" borderId="34">
      <alignment vertical="center"/>
    </xf>
    <xf numFmtId="0" fontId="38" fillId="21" borderId="0">
      <alignment vertical="center"/>
    </xf>
    <xf numFmtId="0" fontId="39" fillId="22" borderId="0">
      <alignment vertical="center"/>
    </xf>
    <xf numFmtId="0" fontId="40" fillId="23" borderId="0">
      <alignment vertical="center"/>
    </xf>
    <xf numFmtId="0" fontId="41" fillId="24" borderId="0">
      <alignment vertical="center"/>
    </xf>
    <xf numFmtId="0" fontId="42" fillId="25" borderId="0">
      <alignment vertical="center"/>
    </xf>
    <xf numFmtId="0" fontId="42" fillId="26" borderId="0">
      <alignment vertical="center"/>
    </xf>
    <xf numFmtId="0" fontId="41" fillId="27" borderId="0">
      <alignment vertical="center"/>
    </xf>
    <xf numFmtId="0" fontId="41" fillId="28" borderId="0">
      <alignment vertical="center"/>
    </xf>
    <xf numFmtId="0" fontId="42" fillId="29" borderId="0">
      <alignment vertical="center"/>
    </xf>
    <xf numFmtId="0" fontId="42" fillId="30" borderId="0">
      <alignment vertical="center"/>
    </xf>
    <xf numFmtId="0" fontId="41" fillId="31" borderId="0">
      <alignment vertical="center"/>
    </xf>
    <xf numFmtId="0" fontId="41" fillId="15" borderId="0">
      <alignment vertical="center"/>
    </xf>
    <xf numFmtId="0" fontId="42" fillId="32" borderId="0">
      <alignment vertical="center"/>
    </xf>
    <xf numFmtId="0" fontId="42" fillId="33" borderId="0">
      <alignment vertical="center"/>
    </xf>
    <xf numFmtId="0" fontId="41" fillId="34" borderId="0">
      <alignment vertical="center"/>
    </xf>
    <xf numFmtId="0" fontId="41" fillId="35" borderId="0">
      <alignment vertical="center"/>
    </xf>
    <xf numFmtId="0" fontId="42" fillId="36" borderId="0">
      <alignment vertical="center"/>
    </xf>
    <xf numFmtId="0" fontId="42" fillId="37" borderId="0">
      <alignment vertical="center"/>
    </xf>
    <xf numFmtId="0" fontId="41" fillId="38" borderId="0">
      <alignment vertical="center"/>
    </xf>
    <xf numFmtId="0" fontId="41" fillId="39" borderId="0">
      <alignment vertical="center"/>
    </xf>
    <xf numFmtId="0" fontId="42" fillId="40" borderId="0">
      <alignment vertical="center"/>
    </xf>
    <xf numFmtId="0" fontId="42" fillId="41" borderId="0">
      <alignment vertical="center"/>
    </xf>
    <xf numFmtId="0" fontId="41" fillId="42" borderId="0">
      <alignment vertical="center"/>
    </xf>
    <xf numFmtId="0" fontId="41" fillId="12" borderId="0">
      <alignment vertical="center"/>
    </xf>
    <xf numFmtId="0" fontId="42" fillId="43" borderId="0">
      <alignment vertical="center"/>
    </xf>
    <xf numFmtId="0" fontId="42" fillId="44" borderId="0">
      <alignment vertical="center"/>
    </xf>
    <xf numFmtId="0" fontId="41" fillId="45" borderId="0">
      <alignment vertical="center"/>
    </xf>
    <xf numFmtId="0" fontId="17" fillId="0" borderId="0"/>
  </cellStyleXfs>
  <cellXfs count="217">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176" fontId="1" fillId="0" borderId="0" xfId="0" applyNumberFormat="1"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xf>
    <xf numFmtId="43" fontId="1" fillId="0" borderId="0" xfId="0" applyNumberFormat="1" applyFont="1" applyFill="1" applyBorder="1" applyAlignment="1">
      <alignment vertical="center"/>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176" fontId="2" fillId="2" borderId="1" xfId="0" applyNumberFormat="1" applyFont="1" applyFill="1" applyBorder="1" applyAlignment="1">
      <alignment vertical="center"/>
    </xf>
    <xf numFmtId="176" fontId="2" fillId="0" borderId="1" xfId="0" applyNumberFormat="1" applyFont="1" applyFill="1" applyBorder="1" applyAlignment="1">
      <alignment vertical="center"/>
    </xf>
    <xf numFmtId="43" fontId="2" fillId="0" borderId="1" xfId="0" applyNumberFormat="1" applyFont="1" applyFill="1" applyBorder="1" applyAlignment="1">
      <alignment vertical="center"/>
    </xf>
    <xf numFmtId="0" fontId="2" fillId="0" borderId="1" xfId="0" applyFont="1" applyFill="1" applyBorder="1" applyAlignment="1">
      <alignment vertical="center"/>
    </xf>
    <xf numFmtId="0" fontId="4" fillId="3" borderId="0" xfId="0" applyFont="1" applyFill="1" applyBorder="1" applyAlignment="1">
      <alignment vertical="center"/>
    </xf>
    <xf numFmtId="0" fontId="5" fillId="0" borderId="1" xfId="6" applyFont="1" applyFill="1" applyBorder="1" applyAlignment="1">
      <alignment vertical="center"/>
    </xf>
    <xf numFmtId="176" fontId="1" fillId="2" borderId="1" xfId="0" applyNumberFormat="1" applyFont="1" applyFill="1" applyBorder="1" applyAlignment="1">
      <alignment vertical="center"/>
    </xf>
    <xf numFmtId="176" fontId="1" fillId="0" borderId="1" xfId="0" applyNumberFormat="1" applyFont="1" applyFill="1" applyBorder="1" applyAlignment="1">
      <alignment vertical="center"/>
    </xf>
    <xf numFmtId="43" fontId="1" fillId="0" borderId="1" xfId="0" applyNumberFormat="1" applyFont="1" applyFill="1" applyBorder="1" applyAlignment="1">
      <alignment vertical="center"/>
    </xf>
    <xf numFmtId="0" fontId="1" fillId="0" borderId="1" xfId="0" applyFont="1" applyFill="1" applyBorder="1" applyAlignment="1">
      <alignment vertical="center"/>
    </xf>
    <xf numFmtId="43" fontId="2" fillId="0" borderId="0" xfId="0" applyNumberFormat="1" applyFont="1" applyFill="1" applyBorder="1" applyAlignment="1">
      <alignment vertical="center"/>
    </xf>
    <xf numFmtId="176" fontId="5" fillId="0" borderId="1" xfId="6" applyNumberFormat="1" applyFont="1" applyFill="1" applyBorder="1" applyAlignment="1">
      <alignment vertical="center"/>
    </xf>
    <xf numFmtId="43" fontId="1" fillId="4" borderId="1" xfId="0" applyNumberFormat="1" applyFont="1" applyFill="1" applyBorder="1" applyAlignment="1">
      <alignment vertical="center"/>
    </xf>
    <xf numFmtId="0" fontId="6" fillId="0" borderId="1" xfId="6" applyFont="1" applyFill="1" applyBorder="1" applyAlignment="1">
      <alignment vertical="center"/>
    </xf>
    <xf numFmtId="0" fontId="7" fillId="0" borderId="1" xfId="6" applyFont="1" applyFill="1" applyBorder="1" applyAlignment="1">
      <alignment vertical="center"/>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176" fontId="1" fillId="0" borderId="3" xfId="0" applyNumberFormat="1" applyFont="1" applyFill="1" applyBorder="1" applyAlignment="1">
      <alignment vertical="center"/>
    </xf>
    <xf numFmtId="0" fontId="3" fillId="0" borderId="0" xfId="0" applyFont="1" applyFill="1" applyAlignment="1">
      <alignment vertical="center"/>
    </xf>
    <xf numFmtId="43" fontId="3" fillId="0" borderId="0" xfId="0" applyNumberFormat="1" applyFont="1" applyFill="1" applyBorder="1" applyAlignment="1">
      <alignment vertical="center"/>
    </xf>
    <xf numFmtId="177" fontId="3" fillId="0" borderId="0" xfId="0" applyNumberFormat="1" applyFont="1" applyFill="1" applyBorder="1" applyAlignment="1">
      <alignment vertical="center"/>
    </xf>
    <xf numFmtId="4" fontId="3" fillId="0" borderId="0" xfId="0" applyNumberFormat="1" applyFont="1" applyFill="1" applyBorder="1" applyAlignment="1">
      <alignment vertical="center"/>
    </xf>
    <xf numFmtId="0" fontId="0" fillId="0" borderId="0" xfId="0" applyFill="1" applyBorder="1" applyAlignment="1">
      <alignment vertical="center"/>
    </xf>
    <xf numFmtId="0" fontId="0" fillId="5" borderId="0" xfId="0" applyFill="1" applyBorder="1" applyAlignment="1">
      <alignment vertical="center"/>
    </xf>
    <xf numFmtId="0" fontId="0" fillId="6" borderId="0" xfId="0" applyFill="1" applyBorder="1" applyAlignment="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left" vertical="center" wrapText="1"/>
    </xf>
    <xf numFmtId="43" fontId="8" fillId="0" borderId="0" xfId="0" applyNumberFormat="1" applyFont="1" applyFill="1" applyBorder="1" applyAlignment="1">
      <alignment horizontal="left" vertical="center"/>
    </xf>
    <xf numFmtId="9" fontId="8" fillId="0" borderId="0" xfId="0" applyNumberFormat="1" applyFont="1" applyFill="1" applyBorder="1" applyAlignment="1">
      <alignment horizontal="left"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49" fontId="10" fillId="0" borderId="7" xfId="49" applyNumberFormat="1" applyFont="1" applyFill="1" applyBorder="1" applyAlignment="1">
      <alignment horizontal="left" vertical="center" wrapText="1"/>
    </xf>
    <xf numFmtId="43" fontId="10" fillId="0" borderId="7" xfId="0" applyNumberFormat="1" applyFont="1" applyFill="1" applyBorder="1" applyAlignment="1">
      <alignment horizontal="left" vertical="center" wrapText="1"/>
    </xf>
    <xf numFmtId="9" fontId="10" fillId="0" borderId="7" xfId="0" applyNumberFormat="1" applyFont="1" applyFill="1" applyBorder="1" applyAlignment="1">
      <alignment horizontal="left" vertical="center" wrapText="1"/>
    </xf>
    <xf numFmtId="43" fontId="10" fillId="0" borderId="8" xfId="0" applyNumberFormat="1" applyFont="1" applyFill="1" applyBorder="1" applyAlignment="1">
      <alignment horizontal="left" vertical="center" wrapText="1"/>
    </xf>
    <xf numFmtId="43" fontId="10" fillId="0" borderId="1" xfId="0" applyNumberFormat="1" applyFont="1" applyFill="1" applyBorder="1" applyAlignment="1">
      <alignment horizontal="left" vertical="center" wrapText="1"/>
    </xf>
    <xf numFmtId="0" fontId="8" fillId="5" borderId="9" xfId="0" applyFont="1" applyFill="1" applyBorder="1" applyAlignment="1">
      <alignment horizontal="left" vertical="center" wrapText="1"/>
    </xf>
    <xf numFmtId="178" fontId="8" fillId="5" borderId="10" xfId="49" applyNumberFormat="1" applyFont="1" applyFill="1" applyBorder="1" applyAlignment="1">
      <alignment horizontal="left" vertical="center" wrapText="1"/>
    </xf>
    <xf numFmtId="49" fontId="8" fillId="5" borderId="10" xfId="49" applyNumberFormat="1" applyFont="1" applyFill="1" applyBorder="1" applyAlignment="1">
      <alignment horizontal="left" vertical="center" wrapText="1"/>
    </xf>
    <xf numFmtId="43" fontId="8" fillId="5" borderId="10" xfId="49" applyNumberFormat="1" applyFont="1" applyFill="1" applyBorder="1" applyAlignment="1">
      <alignment horizontal="left" vertical="center" wrapText="1"/>
    </xf>
    <xf numFmtId="9" fontId="8" fillId="5" borderId="10" xfId="49" applyNumberFormat="1" applyFont="1" applyFill="1" applyBorder="1" applyAlignment="1">
      <alignment horizontal="left" vertical="center" wrapText="1"/>
    </xf>
    <xf numFmtId="43" fontId="8" fillId="5" borderId="11" xfId="49" applyNumberFormat="1" applyFont="1" applyFill="1" applyBorder="1" applyAlignment="1">
      <alignment horizontal="left" vertical="center" wrapText="1"/>
    </xf>
    <xf numFmtId="43" fontId="8" fillId="5" borderId="1" xfId="49" applyNumberFormat="1" applyFont="1" applyFill="1" applyBorder="1" applyAlignment="1">
      <alignment horizontal="left" vertical="center" wrapText="1"/>
    </xf>
    <xf numFmtId="0" fontId="8" fillId="5" borderId="12" xfId="0" applyFont="1" applyFill="1" applyBorder="1" applyAlignment="1">
      <alignment horizontal="left" vertical="center" wrapText="1"/>
    </xf>
    <xf numFmtId="178" fontId="8" fillId="5" borderId="1" xfId="49" applyNumberFormat="1" applyFont="1" applyFill="1" applyBorder="1" applyAlignment="1">
      <alignment horizontal="left" vertical="center" wrapText="1"/>
    </xf>
    <xf numFmtId="0" fontId="8" fillId="5" borderId="1" xfId="49" applyFont="1" applyFill="1" applyBorder="1" applyAlignment="1" applyProtection="1">
      <alignment horizontal="left" vertical="center" wrapText="1"/>
      <protection locked="0"/>
    </xf>
    <xf numFmtId="9" fontId="8" fillId="5" borderId="1" xfId="49" applyNumberFormat="1" applyFont="1" applyFill="1" applyBorder="1" applyAlignment="1">
      <alignment horizontal="left" vertical="center" wrapText="1"/>
    </xf>
    <xf numFmtId="43" fontId="8" fillId="5" borderId="13" xfId="49" applyNumberFormat="1" applyFont="1" applyFill="1" applyBorder="1" applyAlignment="1">
      <alignment horizontal="left" vertical="center" wrapText="1"/>
    </xf>
    <xf numFmtId="0" fontId="8" fillId="5" borderId="1" xfId="49" applyNumberFormat="1" applyFont="1" applyFill="1" applyBorder="1" applyAlignment="1">
      <alignment horizontal="left" vertical="center" wrapText="1"/>
    </xf>
    <xf numFmtId="0" fontId="8" fillId="6" borderId="12" xfId="0" applyFont="1" applyFill="1" applyBorder="1" applyAlignment="1">
      <alignment horizontal="left" vertical="center" wrapText="1"/>
    </xf>
    <xf numFmtId="178" fontId="8" fillId="6" borderId="1" xfId="49" applyNumberFormat="1" applyFont="1" applyFill="1" applyBorder="1" applyAlignment="1">
      <alignment horizontal="left" vertical="center" wrapText="1"/>
    </xf>
    <xf numFmtId="0" fontId="8" fillId="6" borderId="1" xfId="49" applyFont="1" applyFill="1" applyBorder="1" applyAlignment="1" applyProtection="1">
      <alignment horizontal="left" vertical="center" wrapText="1"/>
      <protection locked="0"/>
    </xf>
    <xf numFmtId="43" fontId="8" fillId="6" borderId="1" xfId="49" applyNumberFormat="1" applyFont="1" applyFill="1" applyBorder="1" applyAlignment="1">
      <alignment horizontal="left" vertical="center" wrapText="1"/>
    </xf>
    <xf numFmtId="9" fontId="8" fillId="6" borderId="1" xfId="49" applyNumberFormat="1" applyFont="1" applyFill="1" applyBorder="1" applyAlignment="1">
      <alignment horizontal="left" vertical="center" wrapText="1"/>
    </xf>
    <xf numFmtId="43" fontId="8" fillId="6" borderId="13" xfId="49" applyNumberFormat="1" applyFont="1" applyFill="1" applyBorder="1" applyAlignment="1">
      <alignment horizontal="left" vertical="center" wrapText="1"/>
    </xf>
    <xf numFmtId="0" fontId="8" fillId="6" borderId="1" xfId="49" applyNumberFormat="1" applyFont="1" applyFill="1" applyBorder="1" applyAlignment="1">
      <alignment horizontal="left" vertical="center" wrapText="1"/>
    </xf>
    <xf numFmtId="0" fontId="8" fillId="0" borderId="12" xfId="0" applyFont="1" applyFill="1" applyBorder="1" applyAlignment="1">
      <alignment horizontal="left" vertical="center" wrapText="1"/>
    </xf>
    <xf numFmtId="178" fontId="8" fillId="0" borderId="1" xfId="49" applyNumberFormat="1" applyFont="1" applyFill="1" applyBorder="1" applyAlignment="1">
      <alignment horizontal="left" vertical="center" wrapText="1"/>
    </xf>
    <xf numFmtId="178" fontId="8" fillId="7" borderId="1" xfId="49" applyNumberFormat="1" applyFont="1" applyFill="1" applyBorder="1" applyAlignment="1">
      <alignment horizontal="left" vertical="center" wrapText="1"/>
    </xf>
    <xf numFmtId="49" fontId="8" fillId="0" borderId="1" xfId="49" applyNumberFormat="1" applyFont="1" applyFill="1" applyBorder="1" applyAlignment="1">
      <alignment horizontal="left" vertical="center" wrapText="1"/>
    </xf>
    <xf numFmtId="43" fontId="8" fillId="0" borderId="1" xfId="49" applyNumberFormat="1" applyFont="1" applyFill="1" applyBorder="1" applyAlignment="1">
      <alignment horizontal="left" vertical="center" wrapText="1"/>
    </xf>
    <xf numFmtId="9" fontId="8" fillId="0" borderId="1" xfId="49" applyNumberFormat="1" applyFont="1" applyFill="1" applyBorder="1" applyAlignment="1">
      <alignment horizontal="left" vertical="center" wrapText="1"/>
    </xf>
    <xf numFmtId="43" fontId="8" fillId="0" borderId="13" xfId="49" applyNumberFormat="1" applyFont="1" applyFill="1" applyBorder="1" applyAlignment="1">
      <alignment horizontal="left" vertical="center" wrapText="1"/>
    </xf>
    <xf numFmtId="0" fontId="8" fillId="0" borderId="1" xfId="49" applyFont="1" applyFill="1" applyBorder="1" applyAlignment="1" applyProtection="1">
      <alignment horizontal="left" vertical="center" wrapText="1"/>
      <protection locked="0"/>
    </xf>
    <xf numFmtId="43" fontId="8" fillId="6" borderId="0" xfId="49" applyNumberFormat="1" applyFont="1" applyFill="1" applyAlignment="1">
      <alignment horizontal="left" vertical="center" wrapText="1"/>
    </xf>
    <xf numFmtId="0" fontId="8" fillId="6" borderId="1" xfId="49" applyFont="1" applyFill="1" applyBorder="1" applyAlignment="1">
      <alignment horizontal="left" vertical="center" wrapText="1"/>
    </xf>
    <xf numFmtId="0" fontId="8" fillId="5" borderId="1" xfId="49" applyFont="1" applyFill="1" applyBorder="1" applyAlignment="1">
      <alignment horizontal="left" vertical="center" wrapText="1"/>
    </xf>
    <xf numFmtId="43" fontId="11" fillId="5" borderId="1" xfId="49" applyNumberFormat="1" applyFont="1" applyFill="1" applyBorder="1" applyAlignment="1">
      <alignment horizontal="left" vertical="center" wrapText="1"/>
    </xf>
    <xf numFmtId="9" fontId="11" fillId="5" borderId="1" xfId="49" applyNumberFormat="1" applyFont="1" applyFill="1" applyBorder="1" applyAlignment="1">
      <alignment horizontal="left" vertical="center" wrapText="1"/>
    </xf>
    <xf numFmtId="43" fontId="8" fillId="5" borderId="0" xfId="49" applyNumberFormat="1" applyFont="1" applyFill="1" applyAlignment="1">
      <alignment horizontal="left" vertical="center" wrapText="1"/>
    </xf>
    <xf numFmtId="0" fontId="12" fillId="5" borderId="1" xfId="0" applyFont="1" applyFill="1" applyBorder="1" applyAlignment="1">
      <alignment horizontal="left" vertical="center" wrapText="1"/>
    </xf>
    <xf numFmtId="0" fontId="8" fillId="5" borderId="1" xfId="0" applyFont="1" applyFill="1" applyBorder="1" applyAlignment="1">
      <alignment horizontal="left" vertical="center"/>
    </xf>
    <xf numFmtId="0" fontId="8" fillId="6" borderId="1" xfId="0" applyFont="1" applyFill="1" applyBorder="1" applyAlignment="1">
      <alignment horizontal="left" vertical="center"/>
    </xf>
    <xf numFmtId="0" fontId="8" fillId="0" borderId="1" xfId="0" applyFont="1" applyFill="1" applyBorder="1" applyAlignment="1">
      <alignment horizontal="left" vertical="center"/>
    </xf>
    <xf numFmtId="0" fontId="8" fillId="0" borderId="1" xfId="49" applyFont="1" applyFill="1" applyBorder="1" applyAlignment="1">
      <alignment horizontal="left" vertical="center" wrapText="1"/>
    </xf>
    <xf numFmtId="43" fontId="8" fillId="0" borderId="0" xfId="49" applyNumberFormat="1" applyFont="1" applyFill="1" applyAlignment="1">
      <alignment horizontal="left" vertical="center" wrapText="1"/>
    </xf>
    <xf numFmtId="0" fontId="8" fillId="7" borderId="1" xfId="0" applyFont="1" applyFill="1" applyBorder="1" applyAlignment="1">
      <alignment horizontal="left" vertical="center"/>
    </xf>
    <xf numFmtId="0" fontId="8" fillId="6" borderId="1" xfId="0" applyFont="1" applyFill="1" applyBorder="1" applyAlignment="1">
      <alignment horizontal="left" vertical="center" wrapText="1"/>
    </xf>
    <xf numFmtId="43" fontId="12" fillId="5" borderId="1" xfId="0" applyNumberFormat="1" applyFont="1" applyFill="1" applyBorder="1" applyAlignment="1">
      <alignment horizontal="left" vertical="center" wrapText="1"/>
    </xf>
    <xf numFmtId="9" fontId="12" fillId="5" borderId="1" xfId="0" applyNumberFormat="1" applyFont="1" applyFill="1" applyBorder="1" applyAlignment="1">
      <alignment horizontal="left" vertical="center" wrapText="1"/>
    </xf>
    <xf numFmtId="43" fontId="12" fillId="5" borderId="13" xfId="0" applyNumberFormat="1" applyFont="1" applyFill="1" applyBorder="1" applyAlignment="1">
      <alignment horizontal="left" vertical="center" wrapText="1"/>
    </xf>
    <xf numFmtId="43" fontId="12" fillId="5" borderId="0"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43" fontId="8" fillId="0" borderId="1" xfId="0" applyNumberFormat="1" applyFont="1" applyFill="1" applyBorder="1" applyAlignment="1">
      <alignment horizontal="left" vertical="center"/>
    </xf>
    <xf numFmtId="9" fontId="8" fillId="0" borderId="1" xfId="0" applyNumberFormat="1" applyFont="1" applyFill="1" applyBorder="1" applyAlignment="1">
      <alignment horizontal="left" vertical="center"/>
    </xf>
    <xf numFmtId="43" fontId="8" fillId="0" borderId="13" xfId="0" applyNumberFormat="1" applyFont="1" applyFill="1" applyBorder="1" applyAlignment="1">
      <alignment horizontal="left" vertical="center"/>
    </xf>
    <xf numFmtId="43" fontId="8" fillId="6" borderId="1" xfId="0" applyNumberFormat="1" applyFont="1" applyFill="1" applyBorder="1" applyAlignment="1">
      <alignment horizontal="left" vertical="center"/>
    </xf>
    <xf numFmtId="9" fontId="8" fillId="6" borderId="1" xfId="0" applyNumberFormat="1" applyFont="1" applyFill="1" applyBorder="1" applyAlignment="1">
      <alignment horizontal="left" vertical="center"/>
    </xf>
    <xf numFmtId="43" fontId="8" fillId="6" borderId="13" xfId="0" applyNumberFormat="1" applyFont="1" applyFill="1" applyBorder="1" applyAlignment="1">
      <alignment horizontal="left" vertical="center"/>
    </xf>
    <xf numFmtId="43" fontId="8" fillId="6" borderId="0" xfId="0" applyNumberFormat="1" applyFont="1" applyFill="1" applyBorder="1" applyAlignment="1">
      <alignment horizontal="left" vertical="center"/>
    </xf>
    <xf numFmtId="0" fontId="8" fillId="5" borderId="1" xfId="0" applyFont="1" applyFill="1" applyBorder="1" applyAlignment="1">
      <alignment horizontal="left" vertical="center" wrapText="1"/>
    </xf>
    <xf numFmtId="43" fontId="8" fillId="5" borderId="1" xfId="0" applyNumberFormat="1" applyFont="1" applyFill="1" applyBorder="1" applyAlignment="1">
      <alignment horizontal="left" vertical="center"/>
    </xf>
    <xf numFmtId="9" fontId="8" fillId="5" borderId="1" xfId="0" applyNumberFormat="1" applyFont="1" applyFill="1" applyBorder="1" applyAlignment="1">
      <alignment horizontal="left" vertical="center"/>
    </xf>
    <xf numFmtId="43" fontId="8" fillId="5" borderId="13" xfId="0" applyNumberFormat="1" applyFont="1" applyFill="1" applyBorder="1" applyAlignment="1">
      <alignment horizontal="left" vertical="center"/>
    </xf>
    <xf numFmtId="43" fontId="8" fillId="5" borderId="0" xfId="0" applyNumberFormat="1" applyFont="1" applyFill="1" applyBorder="1" applyAlignment="1">
      <alignment horizontal="left" vertical="center"/>
    </xf>
    <xf numFmtId="43" fontId="11" fillId="6" borderId="1" xfId="0" applyNumberFormat="1" applyFont="1" applyFill="1" applyBorder="1" applyAlignment="1">
      <alignment horizontal="left" vertical="center"/>
    </xf>
    <xf numFmtId="9" fontId="11" fillId="6" borderId="1" xfId="0" applyNumberFormat="1" applyFont="1" applyFill="1" applyBorder="1" applyAlignment="1">
      <alignment horizontal="left" vertical="center"/>
    </xf>
    <xf numFmtId="43" fontId="11" fillId="6" borderId="13" xfId="0" applyNumberFormat="1" applyFont="1" applyFill="1" applyBorder="1" applyAlignment="1">
      <alignment horizontal="left" vertical="center"/>
    </xf>
    <xf numFmtId="43" fontId="11" fillId="6" borderId="0" xfId="0" applyNumberFormat="1" applyFont="1" applyFill="1" applyBorder="1" applyAlignment="1">
      <alignment horizontal="left" vertical="center"/>
    </xf>
    <xf numFmtId="179" fontId="8" fillId="6" borderId="1" xfId="49" applyNumberFormat="1" applyFont="1" applyFill="1" applyBorder="1" applyAlignment="1">
      <alignment horizontal="left" vertical="center" wrapText="1"/>
    </xf>
    <xf numFmtId="179" fontId="8" fillId="0" borderId="1" xfId="49" applyNumberFormat="1" applyFont="1" applyFill="1" applyBorder="1" applyAlignment="1">
      <alignment horizontal="left" vertical="center" wrapText="1"/>
    </xf>
    <xf numFmtId="0" fontId="8" fillId="6" borderId="12" xfId="0" applyFont="1" applyFill="1" applyBorder="1" applyAlignment="1">
      <alignment horizontal="left" vertical="center"/>
    </xf>
    <xf numFmtId="0" fontId="8" fillId="5" borderId="12" xfId="0" applyFont="1" applyFill="1" applyBorder="1" applyAlignment="1">
      <alignment horizontal="left" vertical="center"/>
    </xf>
    <xf numFmtId="0" fontId="8" fillId="0" borderId="12" xfId="0" applyFont="1" applyFill="1" applyBorder="1" applyAlignment="1">
      <alignment horizontal="left" vertical="center"/>
    </xf>
    <xf numFmtId="0" fontId="0" fillId="0" borderId="12" xfId="0" applyFont="1" applyFill="1" applyBorder="1" applyAlignment="1">
      <alignment vertical="center"/>
    </xf>
    <xf numFmtId="9" fontId="8" fillId="2" borderId="1" xfId="0" applyNumberFormat="1" applyFont="1" applyFill="1" applyBorder="1" applyAlignment="1">
      <alignment horizontal="left" vertical="center"/>
    </xf>
    <xf numFmtId="43" fontId="8" fillId="2" borderId="1" xfId="0" applyNumberFormat="1" applyFont="1" applyFill="1" applyBorder="1" applyAlignment="1">
      <alignment horizontal="left" vertical="center"/>
    </xf>
    <xf numFmtId="43" fontId="8" fillId="2" borderId="13" xfId="0" applyNumberFormat="1" applyFont="1" applyFill="1" applyBorder="1" applyAlignment="1">
      <alignment horizontal="left" vertical="center"/>
    </xf>
    <xf numFmtId="0" fontId="8" fillId="0" borderId="14" xfId="0" applyFont="1" applyFill="1" applyBorder="1" applyAlignment="1">
      <alignment horizontal="left" vertical="center"/>
    </xf>
    <xf numFmtId="0" fontId="8" fillId="0" borderId="15" xfId="0" applyFont="1" applyFill="1" applyBorder="1" applyAlignment="1">
      <alignment horizontal="left" vertical="center"/>
    </xf>
    <xf numFmtId="0" fontId="8" fillId="7" borderId="15" xfId="0" applyFont="1" applyFill="1" applyBorder="1" applyAlignment="1">
      <alignment horizontal="left" vertical="center"/>
    </xf>
    <xf numFmtId="0" fontId="8" fillId="0" borderId="15" xfId="0" applyFont="1" applyFill="1" applyBorder="1" applyAlignment="1">
      <alignment horizontal="left" vertical="center" wrapText="1"/>
    </xf>
    <xf numFmtId="43" fontId="8" fillId="0" borderId="15" xfId="49" applyNumberFormat="1" applyFont="1" applyFill="1" applyBorder="1" applyAlignment="1">
      <alignment horizontal="left" vertical="center" wrapText="1"/>
    </xf>
    <xf numFmtId="9" fontId="8" fillId="0" borderId="15" xfId="49" applyNumberFormat="1" applyFont="1" applyFill="1" applyBorder="1" applyAlignment="1">
      <alignment horizontal="left" vertical="center" wrapText="1"/>
    </xf>
    <xf numFmtId="43" fontId="8" fillId="0" borderId="16" xfId="49"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177" fontId="8" fillId="0" borderId="0" xfId="0" applyNumberFormat="1" applyFont="1" applyFill="1" applyBorder="1" applyAlignment="1">
      <alignment horizontal="left" vertical="center" wrapText="1"/>
    </xf>
    <xf numFmtId="0" fontId="8" fillId="2" borderId="0" xfId="0" applyFont="1" applyFill="1" applyBorder="1" applyAlignment="1">
      <alignment horizontal="left" vertical="center"/>
    </xf>
    <xf numFmtId="9" fontId="8" fillId="8" borderId="0" xfId="0" applyNumberFormat="1" applyFont="1" applyFill="1" applyBorder="1" applyAlignment="1">
      <alignment horizontal="left" vertical="center"/>
    </xf>
    <xf numFmtId="9" fontId="8" fillId="9" borderId="0" xfId="0" applyNumberFormat="1" applyFont="1" applyFill="1" applyBorder="1" applyAlignment="1">
      <alignment horizontal="left" vertical="center"/>
    </xf>
    <xf numFmtId="0" fontId="8" fillId="4" borderId="0" xfId="0" applyFont="1" applyFill="1" applyBorder="1" applyAlignment="1">
      <alignment horizontal="left" vertical="center"/>
    </xf>
    <xf numFmtId="0" fontId="13" fillId="0" borderId="0" xfId="0" applyFont="1" applyFill="1" applyAlignment="1">
      <alignment horizontal="center" vertical="center"/>
    </xf>
    <xf numFmtId="0" fontId="14" fillId="0" borderId="0" xfId="0" applyFont="1" applyFill="1" applyBorder="1" applyAlignment="1">
      <alignment vertical="center"/>
    </xf>
    <xf numFmtId="0" fontId="3"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43" fontId="1" fillId="0" borderId="1" xfId="1" applyFont="1" applyBorder="1" applyAlignment="1">
      <alignment horizontal="center" vertical="center"/>
    </xf>
    <xf numFmtId="43" fontId="3" fillId="0" borderId="1" xfId="1" applyFont="1" applyBorder="1" applyAlignment="1">
      <alignment horizontal="center" vertical="center"/>
    </xf>
    <xf numFmtId="43" fontId="1" fillId="10" borderId="1" xfId="1" applyFont="1" applyFill="1" applyBorder="1" applyAlignment="1">
      <alignment horizontal="center" vertical="center"/>
    </xf>
    <xf numFmtId="43" fontId="1" fillId="7" borderId="1" xfId="1" applyFont="1" applyFill="1" applyBorder="1" applyAlignment="1">
      <alignment horizontal="center" vertical="center"/>
    </xf>
    <xf numFmtId="0" fontId="14" fillId="0" borderId="17" xfId="0" applyFont="1" applyFill="1" applyBorder="1" applyAlignment="1">
      <alignment vertical="center"/>
    </xf>
    <xf numFmtId="43" fontId="1" fillId="0" borderId="18" xfId="1" applyFont="1" applyBorder="1" applyAlignment="1">
      <alignment horizontal="center" vertical="center"/>
    </xf>
    <xf numFmtId="0" fontId="14" fillId="0" borderId="19" xfId="0" applyFont="1" applyFill="1" applyBorder="1" applyAlignment="1">
      <alignment vertical="center"/>
    </xf>
    <xf numFmtId="43" fontId="14" fillId="11" borderId="20" xfId="0" applyNumberFormat="1" applyFont="1" applyFill="1" applyBorder="1" applyAlignment="1">
      <alignment vertical="center"/>
    </xf>
    <xf numFmtId="4" fontId="14" fillId="11" borderId="20" xfId="0" applyNumberFormat="1" applyFont="1" applyFill="1" applyBorder="1" applyAlignment="1">
      <alignment vertical="center"/>
    </xf>
    <xf numFmtId="4" fontId="14" fillId="0" borderId="0" xfId="0" applyNumberFormat="1" applyFont="1" applyFill="1" applyBorder="1" applyAlignment="1">
      <alignment vertical="center"/>
    </xf>
    <xf numFmtId="43" fontId="14" fillId="0" borderId="0" xfId="0" applyNumberFormat="1" applyFont="1" applyFill="1" applyBorder="1" applyAlignment="1">
      <alignment vertical="center"/>
    </xf>
    <xf numFmtId="0" fontId="14" fillId="0" borderId="21" xfId="0" applyFont="1" applyFill="1" applyBorder="1" applyAlignment="1">
      <alignment vertical="center"/>
    </xf>
    <xf numFmtId="43" fontId="14" fillId="7" borderId="22" xfId="0" applyNumberFormat="1" applyFont="1" applyFill="1" applyBorder="1" applyAlignment="1">
      <alignment vertical="center"/>
    </xf>
    <xf numFmtId="0" fontId="0" fillId="0" borderId="0" xfId="0" applyAlignment="1">
      <alignment horizontal="center" vertical="center"/>
    </xf>
    <xf numFmtId="0" fontId="15" fillId="0" borderId="1" xfId="0" applyFont="1" applyFill="1" applyBorder="1" applyAlignment="1"/>
    <xf numFmtId="0" fontId="1" fillId="0" borderId="1" xfId="0" applyFont="1" applyFill="1" applyBorder="1" applyAlignment="1">
      <alignment horizontal="center" vertical="center"/>
    </xf>
    <xf numFmtId="43" fontId="1" fillId="0" borderId="1" xfId="0" applyNumberFormat="1" applyFont="1" applyFill="1" applyBorder="1" applyAlignment="1">
      <alignment horizontal="center" vertical="center"/>
    </xf>
    <xf numFmtId="0" fontId="0" fillId="0" borderId="1" xfId="0" applyBorder="1" applyAlignment="1">
      <alignment vertical="center"/>
    </xf>
    <xf numFmtId="4" fontId="16" fillId="0" borderId="1" xfId="0" applyNumberFormat="1" applyFont="1" applyFill="1" applyBorder="1" applyAlignment="1"/>
    <xf numFmtId="4" fontId="0" fillId="0" borderId="0" xfId="0" applyNumberFormat="1" applyAlignment="1">
      <alignment vertical="center"/>
    </xf>
    <xf numFmtId="10" fontId="1" fillId="0" borderId="1" xfId="1" applyNumberFormat="1" applyFont="1" applyBorder="1" applyAlignment="1">
      <alignment horizontal="center" vertical="center"/>
    </xf>
    <xf numFmtId="43" fontId="0" fillId="0" borderId="0" xfId="0" applyNumberFormat="1" applyAlignment="1">
      <alignment vertical="center"/>
    </xf>
    <xf numFmtId="176" fontId="1" fillId="0" borderId="1" xfId="1" applyNumberFormat="1" applyFont="1" applyFill="1" applyBorder="1" applyAlignment="1">
      <alignment horizontal="center" vertical="center"/>
    </xf>
    <xf numFmtId="0" fontId="17" fillId="0" borderId="1" xfId="0" applyFont="1" applyFill="1" applyBorder="1" applyAlignment="1">
      <alignment vertical="center"/>
    </xf>
    <xf numFmtId="0" fontId="1" fillId="12" borderId="1" xfId="0" applyFont="1" applyFill="1" applyBorder="1" applyAlignment="1">
      <alignment horizontal="center" vertical="center"/>
    </xf>
    <xf numFmtId="43" fontId="1" fillId="12" borderId="1" xfId="0" applyNumberFormat="1" applyFont="1" applyFill="1" applyBorder="1" applyAlignment="1">
      <alignment horizontal="center" vertical="center"/>
    </xf>
    <xf numFmtId="43" fontId="1" fillId="10" borderId="1" xfId="0" applyNumberFormat="1" applyFont="1" applyFill="1" applyBorder="1" applyAlignment="1">
      <alignment horizontal="center" vertical="center"/>
    </xf>
    <xf numFmtId="0" fontId="0" fillId="0" borderId="0" xfId="0" applyAlignment="1">
      <alignment vertical="center" wrapText="1"/>
    </xf>
    <xf numFmtId="177" fontId="0" fillId="0" borderId="0" xfId="0" applyNumberFormat="1" applyAlignment="1">
      <alignment vertical="center"/>
    </xf>
    <xf numFmtId="0" fontId="0" fillId="0" borderId="0" xfId="0" applyAlignment="1">
      <alignment horizontal="center" vertical="center" wrapText="1"/>
    </xf>
    <xf numFmtId="0" fontId="0" fillId="0" borderId="1" xfId="0" applyBorder="1" applyAlignment="1">
      <alignment vertical="center" wrapText="1"/>
    </xf>
    <xf numFmtId="177" fontId="0" fillId="0" borderId="1" xfId="0" applyNumberForma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177" fontId="0" fillId="0" borderId="1" xfId="0" applyNumberFormat="1" applyBorder="1" applyAlignment="1">
      <alignment vertical="center"/>
    </xf>
    <xf numFmtId="0" fontId="0" fillId="7" borderId="1" xfId="0" applyFill="1" applyBorder="1" applyAlignment="1">
      <alignment vertical="center"/>
    </xf>
    <xf numFmtId="0" fontId="0" fillId="0" borderId="0" xfId="0" applyFill="1" applyAlignment="1">
      <alignment vertical="center"/>
    </xf>
    <xf numFmtId="0" fontId="14" fillId="0" borderId="0" xfId="0" applyFont="1" applyFill="1" applyAlignment="1">
      <alignment horizontal="center" vertical="center"/>
    </xf>
    <xf numFmtId="43" fontId="3" fillId="0" borderId="1" xfId="0" applyNumberFormat="1" applyFont="1" applyFill="1" applyBorder="1" applyAlignment="1">
      <alignment horizontal="center" vertical="center"/>
    </xf>
    <xf numFmtId="43" fontId="1" fillId="0" borderId="1" xfId="1" applyFont="1" applyFill="1" applyBorder="1" applyAlignment="1">
      <alignment horizontal="center" vertical="center"/>
    </xf>
    <xf numFmtId="0" fontId="0" fillId="0" borderId="19" xfId="0" applyBorder="1" applyAlignment="1">
      <alignment vertical="center"/>
    </xf>
    <xf numFmtId="43" fontId="3" fillId="0" borderId="1" xfId="1" applyNumberFormat="1" applyFont="1" applyBorder="1" applyAlignment="1">
      <alignment horizontal="center" vertical="center"/>
    </xf>
    <xf numFmtId="43" fontId="3" fillId="7" borderId="1" xfId="0" applyNumberFormat="1" applyFont="1" applyFill="1" applyBorder="1" applyAlignment="1">
      <alignment horizontal="center" vertical="center"/>
    </xf>
    <xf numFmtId="43" fontId="18" fillId="7" borderId="1" xfId="1" applyFont="1" applyFill="1" applyBorder="1" applyAlignment="1">
      <alignment horizontal="center" vertical="center"/>
    </xf>
    <xf numFmtId="0" fontId="19" fillId="0" borderId="1" xfId="0" applyFont="1" applyBorder="1" applyAlignment="1">
      <alignment vertical="center"/>
    </xf>
    <xf numFmtId="43" fontId="20" fillId="7" borderId="1" xfId="1" applyFont="1" applyFill="1" applyBorder="1" applyAlignment="1">
      <alignment horizontal="center" vertical="center"/>
    </xf>
    <xf numFmtId="177" fontId="1" fillId="0" borderId="1" xfId="0" applyNumberFormat="1" applyFont="1" applyFill="1" applyBorder="1" applyAlignment="1">
      <alignment horizontal="center" vertical="center"/>
    </xf>
    <xf numFmtId="10" fontId="1" fillId="0" borderId="1" xfId="1" applyNumberFormat="1" applyFont="1" applyFill="1" applyBorder="1" applyAlignment="1">
      <alignment horizontal="center" vertical="center"/>
    </xf>
    <xf numFmtId="0" fontId="0" fillId="0" borderId="1" xfId="0" applyFill="1" applyBorder="1" applyAlignment="1">
      <alignment vertical="center"/>
    </xf>
    <xf numFmtId="4" fontId="16" fillId="0" borderId="0" xfId="0" applyNumberFormat="1" applyFont="1" applyFill="1" applyAlignment="1"/>
    <xf numFmtId="4" fontId="16" fillId="7" borderId="0" xfId="0" applyNumberFormat="1" applyFont="1" applyFill="1" applyAlignment="1"/>
    <xf numFmtId="49" fontId="21" fillId="13" borderId="23" xfId="0" applyNumberFormat="1" applyFont="1" applyFill="1" applyBorder="1" applyAlignment="1">
      <alignment horizontal="left" vertical="center" readingOrder="1"/>
    </xf>
    <xf numFmtId="49" fontId="21" fillId="13" borderId="1" xfId="0" applyNumberFormat="1" applyFont="1" applyFill="1" applyBorder="1" applyAlignment="1">
      <alignment horizontal="center" vertical="center" readingOrder="1"/>
    </xf>
    <xf numFmtId="49" fontId="21" fillId="13" borderId="1" xfId="0" applyNumberFormat="1" applyFont="1" applyFill="1" applyBorder="1" applyAlignment="1">
      <alignment horizontal="center" vertical="center" wrapText="1" readingOrder="1"/>
    </xf>
    <xf numFmtId="4" fontId="21" fillId="14" borderId="1" xfId="0" applyNumberFormat="1" applyFont="1" applyFill="1" applyBorder="1" applyAlignment="1">
      <alignment horizontal="right" vertical="center" readingOrder="1"/>
    </xf>
    <xf numFmtId="49" fontId="21" fillId="13" borderId="24" xfId="0" applyNumberFormat="1" applyFont="1" applyFill="1" applyBorder="1" applyAlignment="1">
      <alignment horizontal="left" vertical="center" readingOrder="1"/>
    </xf>
    <xf numFmtId="0" fontId="0" fillId="0" borderId="1" xfId="0" applyFont="1" applyFill="1" applyBorder="1" applyAlignment="1"/>
    <xf numFmtId="0" fontId="0" fillId="0" borderId="0" xfId="0">
      <alignment vertical="center"/>
    </xf>
    <xf numFmtId="43" fontId="0" fillId="0" borderId="0" xfId="0" applyNumberFormat="1">
      <alignment vertical="center"/>
    </xf>
    <xf numFmtId="0" fontId="0" fillId="0" borderId="25" xfId="0" applyBorder="1" applyAlignment="1">
      <alignment horizontal="center" vertical="center"/>
    </xf>
    <xf numFmtId="0" fontId="0" fillId="0" borderId="1" xfId="0" applyBorder="1">
      <alignment vertical="center"/>
    </xf>
    <xf numFmtId="0" fontId="8" fillId="0" borderId="1" xfId="49" applyFont="1" applyFill="1" applyBorder="1" applyAlignment="1" applyProtection="1">
      <alignment horizontal="center" vertical="center" wrapText="1"/>
      <protection locked="0"/>
    </xf>
    <xf numFmtId="43" fontId="8" fillId="0" borderId="1" xfId="49" applyNumberFormat="1" applyFont="1" applyFill="1" applyBorder="1" applyAlignment="1">
      <alignment horizontal="center" vertical="center" wrapText="1"/>
    </xf>
    <xf numFmtId="177" fontId="0" fillId="0" borderId="1" xfId="0" applyNumberFormat="1" applyBorder="1">
      <alignment vertical="center"/>
    </xf>
    <xf numFmtId="177" fontId="22" fillId="0" borderId="1" xfId="0" applyNumberFormat="1" applyFont="1" applyBorder="1" applyAlignment="1">
      <alignment horizontal="center" vertical="center"/>
    </xf>
    <xf numFmtId="0" fontId="22" fillId="0" borderId="1" xfId="0" applyFont="1" applyBorder="1" applyAlignment="1">
      <alignment horizontal="center" vertical="center"/>
    </xf>
    <xf numFmtId="4" fontId="21" fillId="14" borderId="26" xfId="0" applyNumberFormat="1" applyFont="1" applyFill="1" applyBorder="1" applyAlignment="1">
      <alignment horizontal="right" vertical="center" readingOrder="1"/>
    </xf>
    <xf numFmtId="43" fontId="8"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176" fontId="12" fillId="15" borderId="1" xfId="0" applyNumberFormat="1" applyFont="1" applyFill="1" applyBorder="1" applyAlignment="1">
      <alignment vertical="center"/>
    </xf>
    <xf numFmtId="177" fontId="0" fillId="0" borderId="0" xfId="0" applyNumberFormat="1">
      <alignment vertical="center"/>
    </xf>
    <xf numFmtId="4" fontId="0" fillId="0" borderId="0" xfId="0" applyNumberFormat="1">
      <alignment vertical="center"/>
    </xf>
    <xf numFmtId="0" fontId="0" fillId="16" borderId="0" xfId="0" applyFill="1">
      <alignment vertical="center"/>
    </xf>
    <xf numFmtId="4" fontId="21" fillId="7" borderId="26" xfId="0" applyNumberFormat="1" applyFont="1" applyFill="1" applyBorder="1" applyAlignment="1">
      <alignment horizontal="right" vertical="center" readingOrder="1"/>
    </xf>
    <xf numFmtId="0" fontId="23" fillId="0" borderId="4"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19" xfId="0" applyFont="1" applyFill="1" applyBorder="1" applyAlignment="1">
      <alignment horizontal="center" vertical="center"/>
    </xf>
    <xf numFmtId="0" fontId="0" fillId="0" borderId="1" xfId="0" applyFill="1" applyBorder="1" applyAlignment="1">
      <alignment horizontal="center" vertical="center"/>
    </xf>
    <xf numFmtId="177" fontId="0" fillId="0" borderId="0" xfId="0" applyNumberFormat="1" applyFill="1" applyAlignment="1">
      <alignment vertical="center"/>
    </xf>
    <xf numFmtId="43" fontId="0" fillId="0" borderId="0" xfId="0" applyNumberFormat="1" applyFill="1" applyAlignment="1">
      <alignment vertical="center"/>
    </xf>
    <xf numFmtId="0" fontId="14" fillId="0" borderId="0" xfId="0" applyFont="1" applyFill="1" applyBorder="1" applyAlignment="1" quotePrefix="1">
      <alignment vertical="center"/>
    </xf>
    <xf numFmtId="0" fontId="6" fillId="0" borderId="1" xfId="6" applyFont="1" applyFill="1" applyBorder="1" applyAlignment="1" quotePrefix="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3232" xfId="49"/>
  </cellStyles>
  <tableStyles count="0" defaultTableStyle="TableStyleMedium2" defaultPivotStyle="PivotStyleLight16"/>
  <colors>
    <mruColors>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externalLink" Target="externalLinks/externalLink5.xml"/><Relationship Id="rId13" Type="http://schemas.openxmlformats.org/officeDocument/2006/relationships/externalLink" Target="externalLinks/externalLink4.xml"/><Relationship Id="rId12" Type="http://schemas.openxmlformats.org/officeDocument/2006/relationships/externalLink" Target="externalLinks/externalLink3.xml"/><Relationship Id="rId11" Type="http://schemas.openxmlformats.org/officeDocument/2006/relationships/externalLink" Target="externalLinks/externalLink2.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6890;&#21147;&#25151;&#20135;\&#30011;&#22530;&#26149;&#38182;&#33489;&#39033;&#30446;&#31246;&#21153;&#20195;&#29702;&#23457;&#26680;&#35843;&#25972;&#34920;&#36890;&#21147;&#25151;&#20135;&#20108;&#20998;&#20844;&#21496;2025.5.2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6890;&#21147;&#25151;&#20135;\&#30011;&#22530;&#26149;&#38182;&#33489;2024&#24180;.12.31&#36134;&#38754;&#39044;&#25552;&#25104;&#26412;&#20998;&#25674;&#34920;-&#24050;&#21462;&#24471;&#21457;&#31080;&#20914;&#20943;&#26126;&#32454;2025.7.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6890;&#21147;&#25151;&#20135;\2026.2.3&#24352;&#23068;&#21457;&#30456;&#20851;&#36164;&#26009;\&#30011;&#22530;&#26149;&#38182;&#33489;2025&#24180;&#25151;&#20135;&#21512;&#21516;&#27719;&#24635;&#34920;-2025.7.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4037;&#20316;&#25991;&#26723;\2025&#24180;&#31246;&#21153;\&#36890;&#21147;&#25151;&#20135;&#24211;&#23572;&#21202;&#20998;&#20844;&#21496;\&#30011;&#22530;&#26149;&#38182;&#33489;2025&#24180;&#24037;&#31243;&#25903;&#20184;&#65288;&#25269;&#36134;&#65289;&#32479;&#35745;&#34920;2025.7.3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4037;&#20316;&#25991;&#26723;\2025&#24180;&#31246;&#21153;\&#36890;&#21147;&#25151;&#20135;&#24211;&#23572;&#21202;&#20998;&#20844;&#21496;\&#30011;&#22530;&#26149;&#38182;&#33489;2025&#24180;&#24037;&#31243;&#25903;&#20184;&#65288;&#25269;&#36134;&#65289;&#32479;&#35745;&#34920;2025.7.31(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问题汇总"/>
      <sheetName val="成本调整"/>
      <sheetName val="所得税计算表"/>
      <sheetName val="个税"/>
      <sheetName val="印花税"/>
      <sheetName val="税金核对"/>
      <sheetName val="凭证审核（增值税）"/>
      <sheetName val="四季所得税申报表"/>
      <sheetName val="审核调整明细表"/>
      <sheetName val="Sheet2"/>
      <sheetName val="Sheet1"/>
      <sheetName val="汇算调整表"/>
      <sheetName val="科目余额表"/>
      <sheetName val="利润表"/>
      <sheetName val="资产负债表"/>
      <sheetName val="预收账款"/>
      <sheetName val="合同清单1"/>
      <sheetName val="合同签清单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1">
          <cell r="G21">
            <v>5745203.71</v>
          </cell>
        </row>
        <row r="21">
          <cell r="I21">
            <v>5511136.18214821</v>
          </cell>
        </row>
        <row r="29">
          <cell r="G29">
            <v>2465420.37</v>
          </cell>
        </row>
        <row r="29">
          <cell r="I29">
            <v>2261853.55045872</v>
          </cell>
        </row>
      </sheetData>
      <sheetData sheetId="17">
        <row r="21">
          <cell r="C21">
            <v>139205198.85</v>
          </cell>
        </row>
        <row r="23">
          <cell r="C23">
            <v>127711191.605505</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24年库尔勒片区合同汇总表 "/>
      <sheetName val="项目分类（不可删除）"/>
      <sheetName val="销售类"/>
      <sheetName val="2024.12.31成本确认表"/>
      <sheetName val="规划面积统计表"/>
      <sheetName val="开发成本截止2024.9.30日"/>
      <sheetName val="开发间接费用2024.9.30"/>
      <sheetName val="2024.12.31预提开发成本（与二分公司合同）-已红冲明细"/>
      <sheetName val="2024.12.31预提开发成本（通力股份合同）-已红冲明细"/>
      <sheetName val="税务代理计算单方成本"/>
      <sheetName val="建安工程费税前扣除计算"/>
    </sheetNames>
    <sheetDataSet>
      <sheetData sheetId="0"/>
      <sheetData sheetId="1"/>
      <sheetData sheetId="2"/>
      <sheetData sheetId="3"/>
      <sheetData sheetId="4"/>
      <sheetData sheetId="5"/>
      <sheetData sheetId="6"/>
      <sheetData sheetId="7">
        <row r="21">
          <cell r="W21">
            <v>2447557.77</v>
          </cell>
        </row>
        <row r="29">
          <cell r="I29">
            <v>2261853.54</v>
          </cell>
        </row>
        <row r="40">
          <cell r="L40">
            <v>-3343377.38</v>
          </cell>
        </row>
      </sheetData>
      <sheetData sheetId="8"/>
      <sheetData sheetId="9"/>
      <sheetData sheetId="1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巴州建筑勘察规划设计工程有限公司付款明细"/>
      <sheetName val="25年库尔勒片区合同汇总表 "/>
      <sheetName val="项目分类（不可删除）"/>
      <sheetName val="其他类"/>
      <sheetName val="Sheet1"/>
      <sheetName val="Sheet2"/>
      <sheetName val="Sheet3"/>
      <sheetName val="土地增值税单方成本核算"/>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与通力股份合同总计"/>
      <sheetName val="画堂春锦"/>
      <sheetName val="2023.12.12公司批复库片区可抵房源"/>
      <sheetName val="杜奇志项目"/>
      <sheetName val="一期杜奇志房源"/>
      <sheetName val="高建立项目"/>
      <sheetName val="一期高建立房源"/>
      <sheetName val="倪大伟项目"/>
      <sheetName val="画堂春锦苑17#、18#楼外墙装饰工程（刘品全）"/>
      <sheetName val="新疆圣峰-基坑支护"/>
      <sheetName val="画堂春锦苑项目一期、二期消防"/>
      <sheetName val="郑长银 坚乐美"/>
      <sheetName val="画堂春锦苑连廊、直梯"/>
      <sheetName val="新疆华汇 电梯"/>
      <sheetName val="巨安新粤 人防门"/>
      <sheetName val="画堂春锦看房通道搭设安装工程"/>
      <sheetName val="超科 空调"/>
      <sheetName val="画堂一期防火门、防盗门 永绍防火门"/>
      <sheetName val="画堂春锦苑一期 弱电"/>
      <sheetName val="建源库尔勒分 给水"/>
      <sheetName val="画堂春锦二期钢材"/>
      <sheetName val="画堂春锦苑展示区水景改造工程"/>
      <sheetName val="画堂春锦苑一期变配电（正式用电）工程"/>
      <sheetName val="画堂春锦1#2#5#7#楼铝合金门窗安装工程（江通海）"/>
      <sheetName val="画堂春锦3#8#楼铝合金门窗安装工程"/>
      <sheetName val="画堂春锦苑一期三网合一-FTTH工程"/>
      <sheetName val="画堂春锦苑小区一期公共部位及门斗内装修工程"/>
      <sheetName val="画堂春锦苑一期直梯、门斗、雨棚、连廊 外饰面装修 铝板"/>
      <sheetName val="画堂春锦苑项目一期机械车位设备采购与安装（大洋泊车）"/>
      <sheetName val="画堂春锦苑项目一期二期人防车库及4-6#楼新增机械车位设备采购"/>
      <sheetName val="画堂春锦苑玻璃栏板、采光井制作安装工程（郑长银）"/>
      <sheetName val="画堂春锦苑项目人防出口楼梯间阳光玻璃房1#-5#（江通海）"/>
      <sheetName val="画堂春锦苑项目二期防火门防盗门采购及安装工程（乌鲁木齐品尚门）"/>
      <sheetName val="画堂春锦苑项目二期、三期变配电（正式用电）-新疆华科电力"/>
      <sheetName val="画堂春锦苑（1#-8#住宅楼）屋面玻璃栏板、小区围栏及庭院围栏"/>
      <sheetName val="画堂春锦苑项目二期公共区域装修工程（金克-精诚所至）"/>
      <sheetName val="画堂春锦苑二期三期电梯、雨棚、门斗、连廊外饰面装修工程（新疆"/>
      <sheetName val="画堂春锦苑市政人行道提升改造工程（新疆汇坤建设）"/>
      <sheetName val="画堂春锦苑一期二期楼栋牌、单元牌、楼层牌、户室外牌安装工程"/>
      <sheetName val="画堂春锦苑地埋式垃圾处理站专业施工分包（新疆云景环保科技）"/>
      <sheetName val="画堂春锦苑二期、三期三网合一-FTTH工程专业施工分包"/>
      <sheetName val="画堂春锦苑项目地下车库使用及功能性标识标牌、保护、分区设计和施"/>
      <sheetName val="画堂春锦苑挑檐防水维修（局部）工程"/>
      <sheetName val="画堂春锦苑二期三期园林景观工程（新疆中洲建设工程有限公司）"/>
      <sheetName val="画堂春锦苑二、三期建筑弱电工程专业施工合同（巴州青橄榄）党曌"/>
      <sheetName val="画堂春锦苑东大门，1#2#3#连廊钢结构桩基础施工工程（山东长"/>
      <sheetName val="画堂春锦苑二期消防工程补充协议-8#楼消防工程"/>
      <sheetName val="画堂春锦苑4#6#楼公共区域装修工程"/>
      <sheetName val="画堂春锦苑4#6#住宅楼16#19#商业楼及地下车库防火门防盗"/>
      <sheetName val="画堂春锦苑项目二期、三期地下车库充电桩电表箱工程专业施工分包合"/>
    </sheetNames>
    <sheetDataSet>
      <sheetData sheetId="0"/>
      <sheetData sheetId="1">
        <row r="75">
          <cell r="F75">
            <v>298352051.23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与通力股份合同总计"/>
      <sheetName val="画堂春锦"/>
      <sheetName val="2023.12.12公司批复库片区可抵房源"/>
      <sheetName val="杜奇志项目"/>
      <sheetName val="一期杜奇志房源"/>
      <sheetName val="高建立项目"/>
      <sheetName val="一期高建立房源"/>
      <sheetName val="倪大伟项目"/>
      <sheetName val="画堂春锦苑17#、18#楼外墙装饰工程（刘品全）"/>
      <sheetName val="新疆圣峰-基坑支护"/>
      <sheetName val="画堂春锦苑项目一期、二期消防"/>
      <sheetName val="郑长银 坚乐美"/>
      <sheetName val="画堂春锦苑连廊、直梯"/>
      <sheetName val="新疆华汇 电梯"/>
      <sheetName val="巨安新粤 人防门"/>
      <sheetName val="画堂春锦看房通道搭设安装工程"/>
      <sheetName val="超科 空调"/>
      <sheetName val="画堂一期防火门、防盗门 永绍防火门"/>
      <sheetName val="画堂春锦苑一期 弱电"/>
      <sheetName val="建源库尔勒分 给水"/>
      <sheetName val="画堂春锦二期钢材"/>
      <sheetName val="画堂春锦苑展示区水景改造工程"/>
      <sheetName val="画堂春锦苑一期变配电（正式用电）工程"/>
      <sheetName val="画堂春锦1#2#5#7#楼铝合金门窗安装工程（江通海）"/>
      <sheetName val="画堂春锦3#8#楼铝合金门窗安装工程"/>
      <sheetName val="画堂春锦苑一期三网合一-FTTH工程"/>
      <sheetName val="画堂春锦苑小区一期公共部位及门斗内装修工程"/>
      <sheetName val="画堂春锦苑一期直梯、门斗、雨棚、连廊 外饰面装修 铝板"/>
      <sheetName val="画堂春锦苑项目一期机械车位设备采购与安装（大洋泊车）"/>
      <sheetName val="画堂春锦苑项目一期二期人防车库及4-6#楼新增机械车位设备采购"/>
      <sheetName val="画堂春锦苑玻璃栏板、采光井制作安装工程（郑长银）"/>
      <sheetName val="画堂春锦苑项目人防出口楼梯间阳光玻璃房1#-5#（江通海）"/>
      <sheetName val="画堂春锦苑项目二期防火门防盗门采购及安装工程（乌鲁木齐品尚门）"/>
      <sheetName val="画堂春锦苑项目二期、三期变配电（正式用电）-新疆华科电力"/>
      <sheetName val="画堂春锦苑（1#-8#住宅楼）屋面玻璃栏板、小区围栏及庭院围栏"/>
      <sheetName val="画堂春锦苑项目二期公共区域装修工程（金克-精诚所至）"/>
      <sheetName val="画堂春锦苑二期三期电梯、雨棚、门斗、连廊外饰面装修工程（新疆"/>
      <sheetName val="画堂春锦苑市政人行道提升改造工程（新疆汇坤建设）"/>
      <sheetName val="画堂春锦苑一期二期楼栋牌、单元牌、楼层牌、户室外牌安装工程"/>
      <sheetName val="画堂春锦苑地埋式垃圾处理站专业施工分包（新疆云景环保科技）"/>
      <sheetName val="画堂春锦苑二期、三期三网合一-FTTH工程专业施工分包"/>
      <sheetName val="画堂春锦苑项目地下车库使用及功能性标识标牌、保护、分区设计和施"/>
      <sheetName val="画堂春锦苑挑檐防水维修（局部）工程"/>
      <sheetName val="画堂春锦苑二期三期园林景观工程（新疆中洲建设工程有限公司）"/>
      <sheetName val="画堂春锦苑二、三期建筑弱电工程专业施工合同（巴州青橄榄）党曌"/>
      <sheetName val="画堂春锦苑东大门，1#2#3#连廊钢结构桩基础施工工程（山东长"/>
      <sheetName val="画堂春锦苑二期消防工程补充协议-8#楼消防工程"/>
      <sheetName val="画堂春锦苑4#6#楼公共区域装修工程"/>
      <sheetName val="画堂春锦苑4#6#住宅楼16#19#商业楼及地下车库防火门防盗"/>
      <sheetName val="画堂春锦苑项目二期、三期地下车库充电桩电表箱工程专业施工分包合"/>
    </sheetNames>
    <sheetDataSet>
      <sheetData sheetId="0"/>
      <sheetData sheetId="1">
        <row r="75">
          <cell r="F75">
            <v>298352051.23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K20"/>
  <sheetViews>
    <sheetView workbookViewId="0">
      <selection activeCell="A13" sqref="A13"/>
    </sheetView>
  </sheetViews>
  <sheetFormatPr defaultColWidth="9" defaultRowHeight="13.5"/>
  <cols>
    <col min="1" max="1" width="63.725" style="194" customWidth="1"/>
    <col min="2" max="2" width="22.2583333333333" style="194" customWidth="1"/>
    <col min="3" max="3" width="24.875" style="194" customWidth="1"/>
    <col min="4" max="4" width="23.375" style="194" customWidth="1"/>
    <col min="5" max="5" width="25.2583333333333" style="194" customWidth="1"/>
    <col min="6" max="7" width="17.7583333333333" style="194" customWidth="1"/>
    <col min="8" max="8" width="18" style="194" customWidth="1"/>
    <col min="9" max="9" width="13.125" style="194" customWidth="1"/>
    <col min="10" max="10" width="38" style="194" customWidth="1"/>
    <col min="11" max="16384" width="9" style="194"/>
  </cols>
  <sheetData>
    <row r="1" spans="1:11">
      <c r="A1" s="196" t="s">
        <v>0</v>
      </c>
      <c r="B1" s="196"/>
    </row>
    <row r="2" ht="17" customHeight="1" spans="1:11">
      <c r="A2" s="169" t="s">
        <v>1</v>
      </c>
      <c r="B2" s="169" t="s">
        <v>2</v>
      </c>
      <c r="C2" s="197" t="s">
        <v>3</v>
      </c>
      <c r="D2" s="197" t="s">
        <v>4</v>
      </c>
      <c r="E2" s="169" t="s">
        <v>5</v>
      </c>
      <c r="F2" s="169" t="s">
        <v>6</v>
      </c>
      <c r="G2" s="169" t="s">
        <v>7</v>
      </c>
      <c r="H2" s="169" t="s">
        <v>8</v>
      </c>
    </row>
    <row r="3" ht="50" customHeight="1" spans="1:11">
      <c r="A3" s="198" t="s">
        <v>9</v>
      </c>
      <c r="B3" s="199">
        <v>0</v>
      </c>
      <c r="C3" s="200">
        <v>19253632.83</v>
      </c>
      <c r="D3" s="200">
        <v>13070636.4</v>
      </c>
      <c r="E3" s="201">
        <f>89775+514315</f>
        <v>604090</v>
      </c>
      <c r="F3" s="202"/>
      <c r="G3" s="202">
        <f>230000</f>
        <v>230000</v>
      </c>
      <c r="H3" s="202"/>
      <c r="I3" s="194">
        <f>SUM(D3:H3)</f>
        <v>13904726.4</v>
      </c>
      <c r="J3" s="195">
        <f t="shared" ref="J3:J8" si="0">MIN(C3-I3,C3*10%)</f>
        <v>1925363.283</v>
      </c>
    </row>
    <row r="4" ht="50" customHeight="1" spans="1:11">
      <c r="A4" s="74" t="s">
        <v>10</v>
      </c>
      <c r="B4" s="199">
        <v>111101168</v>
      </c>
      <c r="C4" s="200">
        <v>134581035.21</v>
      </c>
      <c r="D4" s="200">
        <v>106061122.92</v>
      </c>
      <c r="E4" s="202">
        <f>64480+133000</f>
        <v>197480</v>
      </c>
      <c r="G4" s="202">
        <f>436800+105000</f>
        <v>541800</v>
      </c>
      <c r="H4" s="202"/>
      <c r="I4" s="194">
        <f t="shared" ref="I3:I8" si="1">SUM(D4:H4)</f>
        <v>106800402.92</v>
      </c>
      <c r="J4" s="195">
        <f t="shared" si="0"/>
        <v>13458103.521</v>
      </c>
      <c r="K4" s="194" t="s">
        <v>11</v>
      </c>
    </row>
    <row r="5" ht="50" customHeight="1" spans="1:11">
      <c r="A5" s="84" t="s">
        <v>12</v>
      </c>
      <c r="B5" s="204">
        <v>141040225</v>
      </c>
      <c r="C5" s="200">
        <v>171531631.82</v>
      </c>
      <c r="D5" s="200">
        <v>118057931.67</v>
      </c>
      <c r="E5" s="202">
        <f>167360+134400</f>
        <v>301760</v>
      </c>
      <c r="F5" s="202">
        <v>857000</v>
      </c>
      <c r="G5" s="202">
        <f>126783+550000</f>
        <v>676783</v>
      </c>
      <c r="H5" s="202"/>
      <c r="I5" s="194">
        <f t="shared" si="1"/>
        <v>119893474.67</v>
      </c>
      <c r="J5" s="195">
        <f t="shared" si="0"/>
        <v>17153163.182</v>
      </c>
      <c r="K5" s="194" t="s">
        <v>13</v>
      </c>
    </row>
    <row r="6" ht="50" customHeight="1" spans="1:11">
      <c r="A6" s="84" t="s">
        <v>14</v>
      </c>
      <c r="B6" s="204">
        <v>15185395.5</v>
      </c>
      <c r="C6" s="200">
        <v>16731816.72</v>
      </c>
      <c r="D6" s="200">
        <v>10394591.62</v>
      </c>
      <c r="E6" s="202">
        <v>496863</v>
      </c>
      <c r="F6" s="202"/>
      <c r="G6" s="202">
        <f>799000+527000</f>
        <v>1326000</v>
      </c>
      <c r="H6" s="202"/>
      <c r="I6" s="194">
        <f t="shared" si="1"/>
        <v>12217454.62</v>
      </c>
      <c r="J6" s="195">
        <f t="shared" si="0"/>
        <v>1673181.672</v>
      </c>
      <c r="K6" s="194" t="s">
        <v>13</v>
      </c>
    </row>
    <row r="7" ht="50" customHeight="1" spans="1:11">
      <c r="A7" s="93" t="s">
        <v>15</v>
      </c>
      <c r="B7" s="204">
        <v>53686948.86</v>
      </c>
      <c r="C7" s="200">
        <v>56853754.3</v>
      </c>
      <c r="D7" s="200">
        <v>30056867.8</v>
      </c>
      <c r="E7" s="202">
        <f>259750+8066158+62352</f>
        <v>8388260</v>
      </c>
      <c r="F7" s="202"/>
      <c r="G7" s="202">
        <f>366700+495946</f>
        <v>862646</v>
      </c>
      <c r="H7" s="202"/>
      <c r="I7" s="194">
        <f t="shared" si="1"/>
        <v>39307773.8</v>
      </c>
      <c r="J7" s="195">
        <f t="shared" si="0"/>
        <v>5685375.43</v>
      </c>
      <c r="K7" s="194" t="s">
        <v>13</v>
      </c>
    </row>
    <row r="8" ht="50" customHeight="1" spans="1:11">
      <c r="A8" s="111" t="s">
        <v>16</v>
      </c>
      <c r="B8" s="204">
        <v>5266121.28</v>
      </c>
      <c r="C8" s="200">
        <v>7693275.81</v>
      </c>
      <c r="D8" s="200">
        <v>5344207.52</v>
      </c>
      <c r="E8" s="197"/>
      <c r="F8" s="202"/>
      <c r="G8" s="202"/>
      <c r="H8" s="202"/>
      <c r="I8" s="194">
        <f t="shared" si="1"/>
        <v>5344207.52</v>
      </c>
      <c r="J8" s="195">
        <f t="shared" si="0"/>
        <v>769327.581</v>
      </c>
    </row>
    <row r="9" ht="33" customHeight="1" spans="1:11">
      <c r="A9" s="205" t="s">
        <v>17</v>
      </c>
      <c r="B9" s="206">
        <f>SUBTOTAL(9,B4:B8)</f>
        <v>326279858.64</v>
      </c>
      <c r="C9" s="200">
        <f t="shared" ref="C9:H9" si="2">SUM(C3:C8)</f>
        <v>406645146.69</v>
      </c>
      <c r="D9" s="200">
        <f t="shared" si="2"/>
        <v>282985357.93</v>
      </c>
      <c r="E9" s="200">
        <f t="shared" si="2"/>
        <v>9988453</v>
      </c>
      <c r="F9" s="200">
        <f t="shared" si="2"/>
        <v>857000</v>
      </c>
      <c r="G9" s="200">
        <f t="shared" si="2"/>
        <v>3637229</v>
      </c>
      <c r="H9" s="200">
        <f t="shared" si="2"/>
        <v>0</v>
      </c>
    </row>
    <row r="10" spans="1:11">
      <c r="D10" s="207"/>
    </row>
    <row r="14" spans="1:11">
      <c r="C14" s="194" t="s">
        <v>18</v>
      </c>
      <c r="D14" s="207">
        <f>SUM(D9:H9)</f>
        <v>297468039.93</v>
      </c>
      <c r="E14" s="207">
        <f>[4]画堂春锦!F75</f>
        <v>298352051.23</v>
      </c>
      <c r="F14" s="194" t="s">
        <v>19</v>
      </c>
      <c r="G14" s="208">
        <v>298637719.93</v>
      </c>
      <c r="H14" s="209">
        <f>G14-D14</f>
        <v>1169680</v>
      </c>
      <c r="I14" s="209" t="s">
        <v>20</v>
      </c>
    </row>
    <row r="15" spans="1:11">
      <c r="D15" s="194">
        <f>D14-E14</f>
        <v>-884011.300000012</v>
      </c>
      <c r="I15" s="194" t="s">
        <v>21</v>
      </c>
    </row>
    <row r="16" spans="1:11">
      <c r="C16" s="194">
        <f>C4/1.09*0.1</f>
        <v>12346883.9642202</v>
      </c>
    </row>
    <row r="17" spans="3:4">
      <c r="C17" s="194">
        <f>(C5+C6+C7)/1.09*0.1</f>
        <v>22487816.7743119</v>
      </c>
    </row>
    <row r="19" spans="3:4">
      <c r="C19" s="194" t="s">
        <v>22</v>
      </c>
      <c r="D19" s="208">
        <v>297468039.93</v>
      </c>
    </row>
    <row r="20" spans="3:4">
      <c r="D20" s="194">
        <f>D14-D19</f>
        <v>0</v>
      </c>
    </row>
  </sheetData>
  <mergeCells count="1">
    <mergeCell ref="A1:B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I14"/>
  <sheetViews>
    <sheetView workbookViewId="0">
      <selection activeCell="A13" sqref="A13"/>
    </sheetView>
  </sheetViews>
  <sheetFormatPr defaultColWidth="14.375" defaultRowHeight="13.5"/>
  <cols>
    <col min="1" max="1" width="59.625" style="173" customWidth="1"/>
    <col min="2" max="2" width="20" style="173" customWidth="1"/>
    <col min="3" max="3" width="18.625" style="173" customWidth="1"/>
    <col min="4" max="4" width="23.375" style="173" customWidth="1"/>
    <col min="5" max="5" width="15.375" style="173" customWidth="1"/>
    <col min="6" max="6" width="18.625" style="173" customWidth="1"/>
    <col min="7" max="7" width="16.7583333333333" style="173" customWidth="1"/>
    <col min="8" max="8" width="27.5" style="173" customWidth="1"/>
    <col min="9" max="16384" width="14.375" style="173" customWidth="1"/>
  </cols>
  <sheetData>
    <row r="1" s="173" customFormat="1" ht="36" customHeight="1" spans="1:9">
      <c r="A1" s="211" t="s">
        <v>23</v>
      </c>
      <c r="B1" s="212"/>
      <c r="C1" s="212"/>
      <c r="D1" s="212"/>
      <c r="E1" s="212"/>
      <c r="F1" s="212"/>
      <c r="G1" s="212"/>
      <c r="H1" s="213"/>
    </row>
    <row r="2" s="173" customFormat="1" ht="17" customHeight="1" spans="1:9">
      <c r="A2" s="214" t="s">
        <v>1</v>
      </c>
      <c r="B2" s="214" t="s">
        <v>24</v>
      </c>
      <c r="C2" s="185" t="s">
        <v>25</v>
      </c>
      <c r="D2" s="185" t="s">
        <v>4</v>
      </c>
      <c r="E2" s="214" t="s">
        <v>5</v>
      </c>
      <c r="F2" s="185" t="s">
        <v>26</v>
      </c>
      <c r="G2" s="185" t="s">
        <v>27</v>
      </c>
      <c r="H2" s="185" t="s">
        <v>28</v>
      </c>
    </row>
    <row r="3" s="173" customFormat="1" ht="63" customHeight="1" spans="1:9">
      <c r="A3" s="84" t="s">
        <v>12</v>
      </c>
      <c r="B3" s="204">
        <v>141040225</v>
      </c>
      <c r="C3" s="204">
        <v>171531631.82</v>
      </c>
      <c r="D3" s="204">
        <v>118057931.67</v>
      </c>
      <c r="E3" s="204">
        <f>167360+134400</f>
        <v>301760</v>
      </c>
      <c r="F3" s="204">
        <f t="shared" ref="F3:F6" si="0">E3+D3</f>
        <v>118359691.67</v>
      </c>
      <c r="G3" s="204">
        <f>C3-F3-857000</f>
        <v>52314940.15</v>
      </c>
      <c r="H3" s="204">
        <f t="shared" ref="H3:H6" si="1">G3/1.09</f>
        <v>47995357.9357798</v>
      </c>
    </row>
    <row r="4" s="173" customFormat="1" ht="63" customHeight="1" spans="1:9">
      <c r="A4" s="84" t="s">
        <v>14</v>
      </c>
      <c r="B4" s="204">
        <v>15185395.5</v>
      </c>
      <c r="C4" s="204">
        <v>16731816.72</v>
      </c>
      <c r="D4" s="204">
        <v>10394591.62</v>
      </c>
      <c r="E4" s="204">
        <v>496863</v>
      </c>
      <c r="F4" s="204">
        <f t="shared" si="0"/>
        <v>10891454.62</v>
      </c>
      <c r="G4" s="204">
        <f>C4-F4</f>
        <v>5840362.1</v>
      </c>
      <c r="H4" s="204">
        <f t="shared" si="1"/>
        <v>5358130.36697248</v>
      </c>
    </row>
    <row r="5" s="173" customFormat="1" ht="63" customHeight="1" spans="1:9">
      <c r="A5" s="93" t="s">
        <v>15</v>
      </c>
      <c r="B5" s="204">
        <v>53686948.86</v>
      </c>
      <c r="C5" s="204">
        <v>56853754.3</v>
      </c>
      <c r="D5" s="204">
        <v>30056867.8</v>
      </c>
      <c r="E5" s="204">
        <f>259750+8066158+62352</f>
        <v>8388260</v>
      </c>
      <c r="F5" s="204">
        <f t="shared" si="0"/>
        <v>38445127.8</v>
      </c>
      <c r="G5" s="204">
        <f>C5-F5</f>
        <v>18408626.5</v>
      </c>
      <c r="H5" s="204">
        <f t="shared" si="1"/>
        <v>16888648.1651376</v>
      </c>
    </row>
    <row r="6" s="173" customFormat="1" ht="33" customHeight="1" spans="1:9">
      <c r="A6" s="205" t="s">
        <v>17</v>
      </c>
      <c r="B6" s="206">
        <f>SUBTOTAL(9,B3:B5)</f>
        <v>209912569.36</v>
      </c>
      <c r="C6" s="204">
        <f t="shared" ref="C6:G6" si="2">SUM(C3:C5)</f>
        <v>245117202.84</v>
      </c>
      <c r="D6" s="204">
        <f t="shared" si="2"/>
        <v>158509391.09</v>
      </c>
      <c r="E6" s="204">
        <f t="shared" si="2"/>
        <v>9186883</v>
      </c>
      <c r="F6" s="204">
        <f t="shared" si="0"/>
        <v>167696274.09</v>
      </c>
      <c r="G6" s="204">
        <f t="shared" si="2"/>
        <v>76563928.75</v>
      </c>
      <c r="H6" s="204">
        <f t="shared" si="1"/>
        <v>70242136.4678899</v>
      </c>
      <c r="I6" s="173" t="s">
        <v>29</v>
      </c>
    </row>
    <row r="7" s="173" customFormat="1" ht="30" customHeight="1" spans="1:9">
      <c r="D7" s="215"/>
      <c r="H7" s="173">
        <v>30000000</v>
      </c>
      <c r="I7" s="173" t="s">
        <v>30</v>
      </c>
    </row>
    <row r="8" spans="1:9">
      <c r="G8" s="173" t="s">
        <v>31</v>
      </c>
      <c r="H8" s="215">
        <f>H7+H6</f>
        <v>100242136.46789</v>
      </c>
    </row>
    <row r="11" s="173" customFormat="1" spans="1:9">
      <c r="D11" s="215"/>
      <c r="E11" s="215"/>
    </row>
    <row r="14" spans="1:9">
      <c r="C14" s="216">
        <v>10000000</v>
      </c>
      <c r="D14" s="173">
        <v>1000000</v>
      </c>
    </row>
  </sheetData>
  <mergeCells count="1">
    <mergeCell ref="A1:H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P33"/>
  <sheetViews>
    <sheetView topLeftCell="D1" workbookViewId="0">
      <selection activeCell="L5" sqref="L5"/>
    </sheetView>
  </sheetViews>
  <sheetFormatPr defaultColWidth="9" defaultRowHeight="13.5"/>
  <cols>
    <col min="1" max="1" width="40.125" style="194" customWidth="1"/>
    <col min="2" max="2" width="22.2583333333333" style="194" customWidth="1"/>
    <col min="3" max="3" width="24.875" style="194" customWidth="1"/>
    <col min="4" max="4" width="23.375" style="194" customWidth="1"/>
    <col min="5" max="5" width="25.2583333333333" style="194" customWidth="1"/>
    <col min="6" max="7" width="17.7583333333333" style="194" customWidth="1"/>
    <col min="8" max="8" width="18" style="194" customWidth="1"/>
    <col min="9" max="9" width="13.125" style="194" customWidth="1"/>
    <col min="10" max="10" width="17.725" style="194" customWidth="1"/>
    <col min="11" max="11" width="19.5416666666667" style="194" customWidth="1"/>
    <col min="12" max="13" width="19.5416666666667" style="195" customWidth="1"/>
    <col min="14" max="14" width="17.3666666666667" style="194"/>
    <col min="15" max="15" width="17.3666666666667" style="195"/>
    <col min="16" max="16384" width="9" style="194"/>
  </cols>
  <sheetData>
    <row r="1" spans="1:16">
      <c r="A1" s="196" t="s">
        <v>0</v>
      </c>
      <c r="B1" s="196"/>
    </row>
    <row r="2" ht="17" customHeight="1" spans="1:16">
      <c r="A2" s="169" t="s">
        <v>1</v>
      </c>
      <c r="B2" s="169" t="s">
        <v>2</v>
      </c>
      <c r="C2" s="197" t="s">
        <v>3</v>
      </c>
      <c r="D2" s="197" t="s">
        <v>4</v>
      </c>
      <c r="E2" s="169" t="s">
        <v>5</v>
      </c>
      <c r="F2" s="169" t="s">
        <v>6</v>
      </c>
      <c r="G2" s="169" t="s">
        <v>7</v>
      </c>
      <c r="H2" s="169" t="s">
        <v>32</v>
      </c>
      <c r="I2" s="194" t="s">
        <v>33</v>
      </c>
      <c r="J2" s="194" t="s">
        <v>34</v>
      </c>
      <c r="K2" s="194" t="s">
        <v>35</v>
      </c>
      <c r="L2" s="195" t="s">
        <v>36</v>
      </c>
      <c r="M2" s="195" t="s">
        <v>37</v>
      </c>
      <c r="N2" s="194" t="s">
        <v>38</v>
      </c>
      <c r="O2" s="195" t="s">
        <v>39</v>
      </c>
    </row>
    <row r="3" ht="50" customHeight="1" spans="1:16">
      <c r="A3" s="198" t="s">
        <v>9</v>
      </c>
      <c r="B3" s="199">
        <v>0</v>
      </c>
      <c r="C3" s="200">
        <v>19253632.83</v>
      </c>
      <c r="D3" s="200">
        <v>13070636.4</v>
      </c>
      <c r="E3" s="201">
        <f>89775+514315</f>
        <v>604090</v>
      </c>
      <c r="F3" s="202"/>
      <c r="G3" s="202">
        <f>230000</f>
        <v>230000</v>
      </c>
      <c r="H3" s="202"/>
      <c r="I3" s="194">
        <f t="shared" ref="I3:I9" si="0">E3+F3+D3+G3+H3</f>
        <v>13904726.4</v>
      </c>
      <c r="J3" s="203">
        <v>330842.38</v>
      </c>
      <c r="K3" s="194">
        <f t="shared" ref="K3:K8" si="1">I3+J3</f>
        <v>14235568.78</v>
      </c>
      <c r="L3" s="195">
        <f t="shared" ref="L3:L8" si="2">C3-K3</f>
        <v>5018064.05</v>
      </c>
      <c r="M3" s="195">
        <f t="shared" ref="M3:M8" si="3">C3*0.1</f>
        <v>1925363.283</v>
      </c>
      <c r="N3" s="195">
        <f t="shared" ref="N3:N8" si="4">MIN(C3*0.1,C3-K3)</f>
        <v>1925363.283</v>
      </c>
      <c r="O3" s="195">
        <f t="shared" ref="O3:O8" si="5">ROUND(N3/1.09,2)</f>
        <v>1766388.33</v>
      </c>
      <c r="P3" s="194" t="s">
        <v>40</v>
      </c>
    </row>
    <row r="4" ht="50" customHeight="1" spans="1:16">
      <c r="A4" s="74" t="s">
        <v>10</v>
      </c>
      <c r="B4" s="199">
        <v>111101168</v>
      </c>
      <c r="C4" s="200">
        <v>134581035.21</v>
      </c>
      <c r="D4" s="200">
        <v>106061122.92</v>
      </c>
      <c r="E4" s="202">
        <f>64480+133000</f>
        <v>197480</v>
      </c>
      <c r="G4" s="202">
        <f>436800+105000</f>
        <v>541800</v>
      </c>
      <c r="H4" s="202"/>
      <c r="I4" s="194">
        <f t="shared" si="0"/>
        <v>106800402.92</v>
      </c>
      <c r="J4" s="194">
        <v>955439</v>
      </c>
      <c r="K4" s="194">
        <f>I4+J4+15211009.17</f>
        <v>122966851.09</v>
      </c>
      <c r="L4" s="195">
        <f t="shared" si="2"/>
        <v>11614184.12</v>
      </c>
      <c r="M4" s="195">
        <f t="shared" si="3"/>
        <v>13458103.521</v>
      </c>
      <c r="N4" s="195">
        <f t="shared" si="4"/>
        <v>11614184.12</v>
      </c>
      <c r="O4" s="195">
        <f t="shared" si="5"/>
        <v>10655214.79</v>
      </c>
      <c r="P4" s="194" t="s">
        <v>41</v>
      </c>
    </row>
    <row r="5" ht="50" customHeight="1" spans="1:16">
      <c r="A5" s="84" t="s">
        <v>12</v>
      </c>
      <c r="B5" s="204">
        <v>141040225</v>
      </c>
      <c r="C5" s="200">
        <v>171531631.82</v>
      </c>
      <c r="D5" s="200">
        <v>118057931.67</v>
      </c>
      <c r="E5" s="202">
        <f>167360+134400</f>
        <v>301760</v>
      </c>
      <c r="F5" s="202">
        <v>857000</v>
      </c>
      <c r="G5" s="202">
        <f>126783+550000</f>
        <v>676783</v>
      </c>
      <c r="H5" s="202"/>
      <c r="I5" s="194">
        <f t="shared" si="0"/>
        <v>119893474.67</v>
      </c>
      <c r="J5" s="203">
        <v>6667499</v>
      </c>
      <c r="K5" s="194">
        <f t="shared" si="1"/>
        <v>126560973.67</v>
      </c>
      <c r="L5" s="195">
        <f>C5-K5+20500000</f>
        <v>65470658.15</v>
      </c>
      <c r="M5" s="195">
        <f t="shared" si="3"/>
        <v>17153163.182</v>
      </c>
      <c r="N5" s="195">
        <f t="shared" si="4"/>
        <v>17153163.182</v>
      </c>
      <c r="O5" s="195">
        <f t="shared" si="5"/>
        <v>15736846.96</v>
      </c>
      <c r="P5" s="194" t="s">
        <v>42</v>
      </c>
    </row>
    <row r="6" ht="50" customHeight="1" spans="1:16">
      <c r="A6" s="84" t="s">
        <v>14</v>
      </c>
      <c r="B6" s="204">
        <v>15185395.5</v>
      </c>
      <c r="C6" s="200">
        <v>16731816.72</v>
      </c>
      <c r="D6" s="200">
        <v>10394591.62</v>
      </c>
      <c r="E6" s="202">
        <v>496863</v>
      </c>
      <c r="F6" s="202"/>
      <c r="G6" s="202">
        <f>799000+527000</f>
        <v>1326000</v>
      </c>
      <c r="H6" s="202">
        <v>884011.3</v>
      </c>
      <c r="I6" s="194">
        <f t="shared" si="0"/>
        <v>13101465.92</v>
      </c>
      <c r="J6" s="194">
        <v>349399</v>
      </c>
      <c r="K6" s="194">
        <f t="shared" si="1"/>
        <v>13450864.92</v>
      </c>
      <c r="L6" s="195">
        <f t="shared" si="2"/>
        <v>3280951.8</v>
      </c>
      <c r="M6" s="195">
        <f t="shared" si="3"/>
        <v>1673181.672</v>
      </c>
      <c r="N6" s="195">
        <f t="shared" si="4"/>
        <v>1673181.672</v>
      </c>
      <c r="O6" s="195">
        <f t="shared" si="5"/>
        <v>1535029.06</v>
      </c>
      <c r="P6" s="194" t="s">
        <v>42</v>
      </c>
    </row>
    <row r="7" ht="50" customHeight="1" spans="1:16">
      <c r="A7" s="93" t="s">
        <v>15</v>
      </c>
      <c r="B7" s="204">
        <v>53686948.86</v>
      </c>
      <c r="C7" s="200">
        <v>56853754.3</v>
      </c>
      <c r="D7" s="200">
        <v>30056867.8</v>
      </c>
      <c r="E7" s="202">
        <f>259750+8066158+62352</f>
        <v>8388260</v>
      </c>
      <c r="F7" s="202"/>
      <c r="G7" s="202">
        <f>366700+495946</f>
        <v>862646</v>
      </c>
      <c r="H7" s="202"/>
      <c r="I7" s="194">
        <f t="shared" si="0"/>
        <v>39307773.8</v>
      </c>
      <c r="J7" s="203">
        <v>49458.89</v>
      </c>
      <c r="K7" s="194">
        <f>I7+J7+929592.66</f>
        <v>40286825.35</v>
      </c>
      <c r="L7" s="195">
        <f t="shared" si="2"/>
        <v>16566928.95</v>
      </c>
      <c r="M7" s="195">
        <f t="shared" si="3"/>
        <v>5685375.43</v>
      </c>
      <c r="N7" s="195">
        <f t="shared" si="4"/>
        <v>5685375.43</v>
      </c>
      <c r="O7" s="195">
        <f t="shared" si="5"/>
        <v>5215940.76</v>
      </c>
      <c r="P7" s="194" t="s">
        <v>42</v>
      </c>
    </row>
    <row r="8" ht="50" customHeight="1" spans="1:16">
      <c r="A8" s="111" t="s">
        <v>16</v>
      </c>
      <c r="B8" s="204">
        <v>5266121.28</v>
      </c>
      <c r="C8" s="200">
        <v>7693275.81</v>
      </c>
      <c r="D8" s="200">
        <v>5344207.52</v>
      </c>
      <c r="E8" s="197"/>
      <c r="F8" s="202"/>
      <c r="G8" s="202"/>
      <c r="H8" s="202"/>
      <c r="I8" s="194">
        <f t="shared" si="0"/>
        <v>5344207.52</v>
      </c>
      <c r="J8" s="203">
        <v>54188</v>
      </c>
      <c r="K8" s="194">
        <f t="shared" si="1"/>
        <v>5398395.52</v>
      </c>
      <c r="L8" s="195">
        <f t="shared" si="2"/>
        <v>2294880.29</v>
      </c>
      <c r="M8" s="195">
        <f t="shared" si="3"/>
        <v>769327.581</v>
      </c>
      <c r="N8" s="195">
        <f t="shared" si="4"/>
        <v>769327.581</v>
      </c>
      <c r="O8" s="195">
        <f t="shared" si="5"/>
        <v>705805.12</v>
      </c>
      <c r="P8" s="194" t="s">
        <v>40</v>
      </c>
    </row>
    <row r="9" ht="33" customHeight="1" spans="1:16">
      <c r="A9" s="205" t="s">
        <v>17</v>
      </c>
      <c r="B9" s="206">
        <f>SUBTOTAL(9,B4:B8)</f>
        <v>326279858.64</v>
      </c>
      <c r="C9" s="200">
        <f t="shared" ref="C9:H9" si="6">SUM(C3:C8)</f>
        <v>406645146.69</v>
      </c>
      <c r="D9" s="200">
        <f t="shared" si="6"/>
        <v>282985357.93</v>
      </c>
      <c r="E9" s="200">
        <f t="shared" si="6"/>
        <v>9988453</v>
      </c>
      <c r="F9" s="200">
        <f t="shared" si="6"/>
        <v>857000</v>
      </c>
      <c r="G9" s="200">
        <f t="shared" si="6"/>
        <v>3637229</v>
      </c>
      <c r="H9" s="200">
        <f t="shared" si="6"/>
        <v>884011.3</v>
      </c>
      <c r="I9" s="194">
        <f t="shared" si="0"/>
        <v>298352051.23</v>
      </c>
      <c r="J9" s="194">
        <f t="shared" ref="J9:N9" si="7">SUM(J3:J8)</f>
        <v>8406826.27</v>
      </c>
      <c r="K9" s="194">
        <f t="shared" si="7"/>
        <v>322899479.33</v>
      </c>
      <c r="N9" s="194">
        <f t="shared" si="7"/>
        <v>38820595.268</v>
      </c>
      <c r="O9" s="195">
        <v>20500000</v>
      </c>
      <c r="P9" s="194" t="s">
        <v>43</v>
      </c>
    </row>
    <row r="10" spans="1:16">
      <c r="D10" s="207"/>
    </row>
    <row r="14" spans="1:16">
      <c r="C14" s="194" t="s">
        <v>18</v>
      </c>
      <c r="D14" s="207">
        <f>SUM(D9:H9)</f>
        <v>298352051.23</v>
      </c>
      <c r="E14" s="207">
        <f>[5]画堂春锦!F75</f>
        <v>298352051.23</v>
      </c>
      <c r="F14" s="194" t="s">
        <v>19</v>
      </c>
      <c r="G14" s="208">
        <v>306758878.5</v>
      </c>
      <c r="H14" s="209">
        <f>G14-D14</f>
        <v>8406827.26999998</v>
      </c>
      <c r="I14" s="209" t="s">
        <v>20</v>
      </c>
    </row>
    <row r="15" spans="1:16">
      <c r="D15" s="194">
        <f>D14-E14</f>
        <v>0</v>
      </c>
      <c r="I15" s="194" t="s">
        <v>44</v>
      </c>
    </row>
    <row r="19" spans="3:5">
      <c r="C19" s="194" t="s">
        <v>22</v>
      </c>
      <c r="D19" s="208">
        <v>297468039.93</v>
      </c>
    </row>
    <row r="20" spans="3:5">
      <c r="D20" s="194">
        <f>D14-D19</f>
        <v>884011.300000012</v>
      </c>
    </row>
    <row r="25" ht="14.25" spans="3:5">
      <c r="C25" s="188" t="s">
        <v>45</v>
      </c>
      <c r="D25" s="188"/>
      <c r="E25" s="203">
        <v>-1</v>
      </c>
    </row>
    <row r="26" ht="14.25" spans="3:5">
      <c r="C26" s="188" t="s">
        <v>46</v>
      </c>
      <c r="D26" s="188"/>
      <c r="E26" s="210">
        <v>-183113</v>
      </c>
    </row>
    <row r="27" ht="14.25" spans="3:5">
      <c r="C27" s="188" t="s">
        <v>47</v>
      </c>
      <c r="D27" s="188"/>
      <c r="E27" s="203">
        <v>-349399</v>
      </c>
    </row>
    <row r="28" ht="14.25" spans="3:5">
      <c r="C28" s="188" t="s">
        <v>48</v>
      </c>
      <c r="D28" s="188"/>
      <c r="E28" s="210">
        <v>-16728</v>
      </c>
    </row>
    <row r="29" ht="14.25" spans="3:5">
      <c r="C29" s="188" t="s">
        <v>49</v>
      </c>
      <c r="D29" s="188"/>
      <c r="E29" s="210">
        <v>-755598</v>
      </c>
    </row>
    <row r="30" ht="14.25" spans="3:5">
      <c r="C30" s="188" t="s">
        <v>50</v>
      </c>
      <c r="D30" s="188"/>
      <c r="E30" s="203">
        <v>-330842.38</v>
      </c>
    </row>
    <row r="31" ht="14.25" spans="3:5">
      <c r="C31" s="188" t="s">
        <v>51</v>
      </c>
      <c r="D31" s="188"/>
      <c r="E31" s="203">
        <v>-49458.89</v>
      </c>
    </row>
    <row r="32" ht="14.25" spans="3:5">
      <c r="C32" s="188" t="s">
        <v>52</v>
      </c>
      <c r="D32" s="188"/>
      <c r="E32" s="203">
        <v>-6667499</v>
      </c>
    </row>
    <row r="33" ht="14.25" spans="3:5">
      <c r="C33" s="188" t="s">
        <v>53</v>
      </c>
      <c r="D33" s="188"/>
      <c r="E33" s="203">
        <v>-54188</v>
      </c>
    </row>
  </sheetData>
  <mergeCells count="10">
    <mergeCell ref="A1:B1"/>
    <mergeCell ref="C25:D25"/>
    <mergeCell ref="C26:D26"/>
    <mergeCell ref="C27:D27"/>
    <mergeCell ref="C28:D28"/>
    <mergeCell ref="C29:D29"/>
    <mergeCell ref="C30:D30"/>
    <mergeCell ref="C31:D31"/>
    <mergeCell ref="C32:D32"/>
    <mergeCell ref="C33:D33"/>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36"/>
  <sheetViews>
    <sheetView workbookViewId="0">
      <selection activeCell="C30" sqref="C30"/>
    </sheetView>
  </sheetViews>
  <sheetFormatPr defaultColWidth="9" defaultRowHeight="13.5"/>
  <cols>
    <col min="3" max="3" width="42.6333333333333" customWidth="1"/>
    <col min="4" max="4" width="24.5" customWidth="1"/>
    <col min="5" max="5" width="15.5416666666667" customWidth="1"/>
    <col min="6" max="6" width="16.9083333333333" customWidth="1"/>
    <col min="7" max="7" width="19.125" customWidth="1"/>
    <col min="8" max="8" width="25.7583333333333" customWidth="1"/>
    <col min="9" max="10" width="15" customWidth="1"/>
    <col min="11" max="11" width="25.625" customWidth="1"/>
    <col min="12" max="12" width="22.7583333333333" customWidth="1"/>
    <col min="13" max="13" width="35.125" customWidth="1"/>
    <col min="14" max="14" width="34.625" customWidth="1"/>
  </cols>
  <sheetData>
    <row r="1" ht="24.05" customHeight="1" spans="1:14">
      <c r="A1" s="188" t="s">
        <v>54</v>
      </c>
      <c r="B1" s="188"/>
      <c r="C1" s="188"/>
      <c r="D1" s="189" t="s">
        <v>55</v>
      </c>
      <c r="E1" s="189" t="s">
        <v>56</v>
      </c>
      <c r="F1" s="189" t="s">
        <v>57</v>
      </c>
      <c r="G1" s="189" t="s">
        <v>58</v>
      </c>
      <c r="H1" s="189" t="s">
        <v>59</v>
      </c>
      <c r="I1" s="190" t="s">
        <v>60</v>
      </c>
      <c r="J1" s="190" t="s">
        <v>61</v>
      </c>
      <c r="K1" s="189" t="s">
        <v>62</v>
      </c>
      <c r="L1" s="189" t="s">
        <v>63</v>
      </c>
      <c r="M1" s="189" t="s">
        <v>64</v>
      </c>
      <c r="N1" s="189" t="s">
        <v>65</v>
      </c>
    </row>
    <row r="2" ht="24.05" customHeight="1" spans="1:14">
      <c r="A2" s="188" t="s">
        <v>66</v>
      </c>
      <c r="B2" s="188"/>
      <c r="C2" s="188"/>
      <c r="D2" s="191">
        <v>43347.82</v>
      </c>
      <c r="E2" s="191">
        <f>F2-D2</f>
        <v>2594.6</v>
      </c>
      <c r="F2" s="191">
        <f>D2+2594.6</f>
        <v>45942.42</v>
      </c>
      <c r="G2" s="191">
        <v>170376241.61</v>
      </c>
      <c r="H2" s="191">
        <f>G2/D2</f>
        <v>3930.44544362323</v>
      </c>
      <c r="I2" s="191">
        <v>40003.52</v>
      </c>
      <c r="J2" s="191">
        <v>829.95</v>
      </c>
      <c r="K2" s="191">
        <f>I2+829.85</f>
        <v>40833.37</v>
      </c>
      <c r="L2" s="191">
        <f>I2*H2</f>
        <v>157231652.912891</v>
      </c>
      <c r="M2" s="191">
        <v>150674062.55</v>
      </c>
      <c r="N2" s="191">
        <f>L2-M2</f>
        <v>6557590.36289081</v>
      </c>
    </row>
    <row r="3" ht="24.05" customHeight="1" spans="1:14">
      <c r="A3" s="188" t="s">
        <v>67</v>
      </c>
      <c r="B3" s="188"/>
      <c r="C3" s="188"/>
      <c r="D3" s="191">
        <v>75518.12</v>
      </c>
      <c r="E3" s="191">
        <f>F3-D3</f>
        <v>6030.98000000001</v>
      </c>
      <c r="F3" s="191">
        <f>75518.12+3709.84+745.73+1575.41</f>
        <v>81549.1</v>
      </c>
      <c r="G3" s="191">
        <f>209785305.87+70242136.47+31844357.88+30000000</f>
        <v>341871800.22</v>
      </c>
      <c r="H3" s="191">
        <f>G3/D3</f>
        <v>4527.01683013295</v>
      </c>
      <c r="I3" s="191">
        <v>48895.14</v>
      </c>
      <c r="J3" s="191">
        <v>556.82</v>
      </c>
      <c r="K3" s="191">
        <f>I3+556.82</f>
        <v>49451.96</v>
      </c>
      <c r="L3" s="191">
        <f>I3*H3</f>
        <v>221349121.691707</v>
      </c>
      <c r="M3" s="191">
        <v>182346537.54</v>
      </c>
      <c r="N3" s="191">
        <f>L3-M3</f>
        <v>39002584.1517068</v>
      </c>
    </row>
    <row r="4" ht="24.05" customHeight="1" spans="1:14">
      <c r="A4" s="192" t="s">
        <v>68</v>
      </c>
      <c r="B4" s="192"/>
      <c r="C4" s="192"/>
      <c r="D4" s="193"/>
      <c r="E4" s="193"/>
      <c r="F4" s="193"/>
      <c r="G4" s="193"/>
      <c r="H4" s="193"/>
      <c r="I4" s="160"/>
      <c r="J4" s="160"/>
      <c r="K4" s="160"/>
      <c r="L4" s="160"/>
      <c r="M4" s="160" t="s">
        <v>69</v>
      </c>
      <c r="N4" s="160" t="s">
        <v>70</v>
      </c>
    </row>
    <row r="7" spans="1:14">
      <c r="I7">
        <v>40003.52</v>
      </c>
      <c r="J7">
        <v>829.95</v>
      </c>
      <c r="K7">
        <f>K3-I3</f>
        <v>556.82</v>
      </c>
    </row>
    <row r="8" spans="1:14">
      <c r="E8">
        <v>99770899.52</v>
      </c>
      <c r="I8">
        <v>48895.14</v>
      </c>
    </row>
    <row r="10" spans="1:14">
      <c r="D10" t="s">
        <v>71</v>
      </c>
      <c r="E10">
        <f>E8*D2/(D2+D3)</f>
        <v>36384274.5334033</v>
      </c>
      <c r="F10">
        <v>43347.82</v>
      </c>
      <c r="H10">
        <v>7</v>
      </c>
    </row>
    <row r="11" spans="1:14">
      <c r="E11">
        <f>E8-E10</f>
        <v>63386624.9865967</v>
      </c>
      <c r="F11">
        <f>D2-F10</f>
        <v>0</v>
      </c>
    </row>
    <row r="12" spans="1:14">
      <c r="D12" t="s">
        <v>72</v>
      </c>
      <c r="F12">
        <v>37951.55</v>
      </c>
    </row>
    <row r="13" spans="1:14">
      <c r="D13" t="s">
        <v>73</v>
      </c>
      <c r="F13">
        <f>F12+F11</f>
        <v>37951.55</v>
      </c>
    </row>
    <row r="16" spans="1:14">
      <c r="C16" s="166"/>
    </row>
    <row r="17" spans="3:5">
      <c r="C17" s="166"/>
    </row>
    <row r="22" spans="3:5">
      <c r="C22" s="169" t="s">
        <v>74</v>
      </c>
      <c r="D22" s="169">
        <v>124165940.43</v>
      </c>
      <c r="E22" s="150"/>
    </row>
    <row r="23" spans="3:5">
      <c r="C23" s="169"/>
      <c r="D23" s="169">
        <v>13225217.04</v>
      </c>
      <c r="E23" s="150"/>
    </row>
    <row r="24" spans="3:5">
      <c r="C24" s="169"/>
      <c r="D24" s="169">
        <v>13955548.09</v>
      </c>
      <c r="E24" s="150"/>
    </row>
    <row r="25" spans="3:5">
      <c r="C25" s="169" t="s">
        <v>75</v>
      </c>
      <c r="D25" s="169">
        <v>19029536.05</v>
      </c>
      <c r="E25" s="150"/>
    </row>
    <row r="26" spans="3:5">
      <c r="C26" s="169" t="s">
        <v>76</v>
      </c>
      <c r="D26" s="169">
        <f>SUM(D22:D25)</f>
        <v>170376241.61</v>
      </c>
      <c r="E26" s="150"/>
    </row>
    <row r="34" spans="9:9">
      <c r="I34">
        <v>1318</v>
      </c>
    </row>
    <row r="35" spans="9:9">
      <c r="I35">
        <v>1363</v>
      </c>
    </row>
    <row r="36" spans="9:9">
      <c r="I36">
        <v>1401</v>
      </c>
    </row>
  </sheetData>
  <mergeCells count="6">
    <mergeCell ref="A1:C1"/>
    <mergeCell ref="A2:C2"/>
    <mergeCell ref="A3:C3"/>
    <mergeCell ref="A4:C4"/>
    <mergeCell ref="C16:C17"/>
    <mergeCell ref="C22:C24"/>
  </mergeCells>
  <pageMargins left="0.7" right="0.7" top="0.75" bottom="0.75" header="0.3" footer="0.3"/>
  <pageSetup paperSize="9" orientation="portrait"/>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M27"/>
  <sheetViews>
    <sheetView workbookViewId="0">
      <pane ySplit="2" topLeftCell="A3" activePane="bottomLeft" state="frozen"/>
      <selection/>
      <selection pane="bottomLeft" activeCell="D18" sqref="D18"/>
    </sheetView>
  </sheetViews>
  <sheetFormatPr defaultColWidth="9" defaultRowHeight="24.05" customHeight="1"/>
  <cols>
    <col min="1" max="1" width="15.5833333333333" style="133" customWidth="1"/>
    <col min="2" max="2" width="20.9083333333333" style="133" customWidth="1"/>
    <col min="3" max="3" width="15.8166666666667" style="133" customWidth="1"/>
    <col min="4" max="4" width="18.5916666666667" style="133" customWidth="1"/>
    <col min="5" max="5" width="14"/>
    <col min="6" max="6" width="21.275" customWidth="1"/>
    <col min="7" max="7" width="39.5" customWidth="1"/>
    <col min="8" max="8" width="17.725" customWidth="1"/>
    <col min="9" max="9" width="34.7583333333333" customWidth="1"/>
    <col min="10" max="10" width="16.275"/>
    <col min="11" max="11" width="17.625" customWidth="1"/>
    <col min="12" max="12" width="12.8166666666667"/>
    <col min="13" max="13" width="10.5416666666667"/>
  </cols>
  <sheetData>
    <row r="1" customHeight="1" spans="1:13">
      <c r="A1" s="174" t="s">
        <v>77</v>
      </c>
      <c r="B1" s="174"/>
      <c r="C1" s="174"/>
      <c r="D1" s="174"/>
    </row>
    <row r="2" customHeight="1" spans="1:13">
      <c r="A2" s="134"/>
      <c r="B2" s="135" t="s">
        <v>54</v>
      </c>
      <c r="C2" s="135" t="s">
        <v>78</v>
      </c>
      <c r="D2" s="135" t="s">
        <v>76</v>
      </c>
      <c r="E2" s="154" t="s">
        <v>79</v>
      </c>
      <c r="F2" s="154"/>
      <c r="G2" s="150" t="s">
        <v>80</v>
      </c>
      <c r="H2" s="150"/>
    </row>
    <row r="3" customHeight="1" spans="1:13">
      <c r="A3" s="136" t="s">
        <v>81</v>
      </c>
      <c r="B3" s="134" t="s">
        <v>82</v>
      </c>
      <c r="C3" s="175">
        <v>75518.12</v>
      </c>
      <c r="D3" s="176">
        <f>一期二期面积统计!D3</f>
        <v>75518.12</v>
      </c>
      <c r="E3" s="154"/>
      <c r="F3" s="154">
        <f>D3*F23</f>
        <v>0</v>
      </c>
      <c r="G3" s="150"/>
      <c r="H3" s="150"/>
      <c r="I3" t="s">
        <v>83</v>
      </c>
      <c r="J3" t="s">
        <v>84</v>
      </c>
    </row>
    <row r="4" customHeight="1" spans="1:13">
      <c r="A4" s="136" t="s">
        <v>85</v>
      </c>
      <c r="B4" s="134" t="s">
        <v>86</v>
      </c>
      <c r="C4" s="175">
        <f>C5+C6+C7+C10+C11</f>
        <v>341871800.22</v>
      </c>
      <c r="D4" s="176">
        <f>D5+D6+D7+D10+D11+D8+D9</f>
        <v>297072021.71</v>
      </c>
      <c r="E4" s="154"/>
      <c r="F4" s="154"/>
      <c r="G4" s="177" t="s">
        <v>87</v>
      </c>
      <c r="H4" s="154"/>
    </row>
    <row r="5" customHeight="1" spans="1:13">
      <c r="A5" s="136"/>
      <c r="B5" s="138" t="s">
        <v>88</v>
      </c>
      <c r="C5" s="178">
        <f>H5</f>
        <v>64878839.25</v>
      </c>
      <c r="D5" s="176">
        <f>C5</f>
        <v>64878839.25</v>
      </c>
      <c r="E5" s="154">
        <f>C5-D5</f>
        <v>0</v>
      </c>
      <c r="F5" s="154"/>
      <c r="G5" s="177" t="s">
        <v>89</v>
      </c>
      <c r="H5" s="154">
        <v>64878839.25</v>
      </c>
    </row>
    <row r="6" customHeight="1" spans="1:13">
      <c r="A6" s="136"/>
      <c r="B6" s="138" t="s">
        <v>90</v>
      </c>
      <c r="C6" s="178">
        <f>H6</f>
        <v>10077744.49</v>
      </c>
      <c r="D6" s="176">
        <f>H6</f>
        <v>10077744.49</v>
      </c>
      <c r="E6" s="154">
        <f t="shared" ref="E6:E11" si="0">C6-D6</f>
        <v>0</v>
      </c>
      <c r="F6" s="154"/>
      <c r="G6" s="177" t="s">
        <v>91</v>
      </c>
      <c r="H6" s="154">
        <v>10077744.49</v>
      </c>
    </row>
    <row r="7" customHeight="1" spans="1:13">
      <c r="A7" s="136"/>
      <c r="B7" s="134" t="s">
        <v>92</v>
      </c>
      <c r="C7" s="175">
        <f>H10+H11+H12</f>
        <v>258718706.02</v>
      </c>
      <c r="D7" s="176">
        <f>C7+K17</f>
        <v>168458917.28</v>
      </c>
      <c r="E7" s="154">
        <f t="shared" si="0"/>
        <v>90259788.74</v>
      </c>
      <c r="F7" s="154" t="s">
        <v>93</v>
      </c>
      <c r="G7" s="177" t="s">
        <v>94</v>
      </c>
      <c r="H7" s="154">
        <f>二期开发成本凭证明细!C17+二期开发成本凭证明细!C18+二期开发成本凭证明细!C19+二期开发成本凭证明细!C20</f>
        <v>2497653.38</v>
      </c>
    </row>
    <row r="8" customHeight="1" spans="1:13">
      <c r="A8" s="136"/>
      <c r="B8" s="134" t="s">
        <v>95</v>
      </c>
      <c r="C8" s="179"/>
      <c r="D8" s="180">
        <v>20500000</v>
      </c>
      <c r="E8" s="154"/>
      <c r="F8" s="181"/>
      <c r="G8" s="177"/>
      <c r="H8" s="154"/>
    </row>
    <row r="9" customHeight="1" spans="1:13">
      <c r="A9" s="136"/>
      <c r="B9" s="134" t="s">
        <v>96</v>
      </c>
      <c r="C9" s="179"/>
      <c r="D9" s="182">
        <f>'与通力股份合同总计 (3)'!O5+'与通力股份合同总计 (3)'!O6+'与通力股份合同总计 (3)'!O7+'与通力股份合同总计 (3)'!O3+'与通力股份合同总计 (3)'!O8</f>
        <v>24960010.23</v>
      </c>
      <c r="E9" s="154"/>
      <c r="F9" s="154"/>
      <c r="G9" s="177"/>
      <c r="H9" s="154"/>
    </row>
    <row r="10" customHeight="1" spans="1:13">
      <c r="A10" s="136"/>
      <c r="B10" s="134" t="s">
        <v>97</v>
      </c>
      <c r="C10" s="175">
        <f>H7</f>
        <v>2497653.38</v>
      </c>
      <c r="D10" s="176">
        <f>H7</f>
        <v>2497653.38</v>
      </c>
      <c r="E10" s="154">
        <f t="shared" si="0"/>
        <v>0</v>
      </c>
      <c r="F10" s="154"/>
      <c r="G10" s="177" t="s">
        <v>98</v>
      </c>
      <c r="H10" s="154">
        <f>二期开发成本凭证明细!C5+二期开发成本凭证明细!C6+二期开发成本凭证明细!C7</f>
        <v>158476569.55</v>
      </c>
    </row>
    <row r="11" customHeight="1" spans="1:13">
      <c r="A11" s="136"/>
      <c r="B11" s="134" t="s">
        <v>99</v>
      </c>
      <c r="C11" s="175">
        <f>H13</f>
        <v>5698857.08</v>
      </c>
      <c r="D11" s="176">
        <f>H13</f>
        <v>5698857.08</v>
      </c>
      <c r="E11" s="154">
        <f t="shared" si="0"/>
        <v>0</v>
      </c>
      <c r="F11" s="154"/>
      <c r="G11" s="177" t="s">
        <v>100</v>
      </c>
      <c r="H11" s="154">
        <f>二期开发成本凭证明细!C3</f>
        <v>70242136.47</v>
      </c>
      <c r="I11">
        <v>245117202.84</v>
      </c>
      <c r="J11">
        <f>(I11/1.09)*0.1</f>
        <v>22487816.7743119</v>
      </c>
      <c r="K11" t="s">
        <v>101</v>
      </c>
    </row>
    <row r="12" customHeight="1" spans="1:13">
      <c r="A12" s="136"/>
      <c r="B12" s="134"/>
      <c r="C12" s="175"/>
      <c r="D12" s="176"/>
      <c r="E12" s="154"/>
      <c r="F12" s="154"/>
      <c r="G12" s="177" t="s">
        <v>102</v>
      </c>
      <c r="H12" s="154">
        <f>二期开发成本凭证明细!C4</f>
        <v>30000000</v>
      </c>
      <c r="J12">
        <v>638706.99</v>
      </c>
      <c r="K12" t="s">
        <v>103</v>
      </c>
    </row>
    <row r="13" customHeight="1" spans="1:13">
      <c r="A13" s="136"/>
      <c r="B13" s="152" t="s">
        <v>104</v>
      </c>
      <c r="C13" s="183">
        <f>C4/C3</f>
        <v>4527.01683013295</v>
      </c>
      <c r="D13" s="183">
        <f>D4/D3</f>
        <v>3933.78465605341</v>
      </c>
      <c r="E13" s="154"/>
      <c r="F13" s="154"/>
      <c r="G13" s="177" t="s">
        <v>99</v>
      </c>
      <c r="H13" s="154">
        <f>二期开发成本凭证明细!C21+二期开发成本凭证明细!C22+二期开发成本凭证明细!C23</f>
        <v>5698857.08</v>
      </c>
    </row>
    <row r="14" customHeight="1" spans="1:13">
      <c r="A14" s="151"/>
      <c r="B14" s="152"/>
      <c r="C14" s="152"/>
      <c r="D14" s="152"/>
      <c r="E14" s="154"/>
      <c r="F14" s="154"/>
    </row>
    <row r="15" customHeight="1" spans="1:13">
      <c r="A15" s="136" t="s">
        <v>105</v>
      </c>
      <c r="B15" s="152" t="s">
        <v>106</v>
      </c>
      <c r="C15" s="152">
        <v>48150.85</v>
      </c>
      <c r="D15" s="153">
        <v>48515.66</v>
      </c>
      <c r="E15" s="154"/>
      <c r="F15" s="154"/>
      <c r="G15" s="177"/>
      <c r="H15" s="154"/>
      <c r="I15" s="154" t="s">
        <v>107</v>
      </c>
      <c r="J15" s="154" t="s">
        <v>108</v>
      </c>
      <c r="K15" t="s">
        <v>109</v>
      </c>
      <c r="L15" t="s">
        <v>110</v>
      </c>
      <c r="M15" t="s">
        <v>111</v>
      </c>
    </row>
    <row r="16" customHeight="1" spans="1:13">
      <c r="A16" s="136"/>
      <c r="B16" s="152" t="s">
        <v>112</v>
      </c>
      <c r="C16" s="183">
        <f>C15/C3</f>
        <v>0.63760657707051</v>
      </c>
      <c r="D16" s="184">
        <f>+D15/D3</f>
        <v>0.642437338217636</v>
      </c>
      <c r="E16" s="154"/>
      <c r="F16" s="154" t="s">
        <v>113</v>
      </c>
      <c r="G16" s="177" t="s">
        <v>41</v>
      </c>
      <c r="H16" s="154"/>
      <c r="I16" s="155">
        <v>170376241.61</v>
      </c>
      <c r="J16" s="155">
        <v>157246699.8</v>
      </c>
      <c r="K16" s="156">
        <v>-16986698.1</v>
      </c>
      <c r="L16">
        <f>I16+K16</f>
        <v>153389543.51</v>
      </c>
      <c r="M16">
        <v>15211009.17</v>
      </c>
    </row>
    <row r="17" customHeight="1" spans="1:13">
      <c r="A17" s="136"/>
      <c r="B17" s="152" t="s">
        <v>114</v>
      </c>
      <c r="C17" s="152"/>
      <c r="D17" s="159">
        <v>0</v>
      </c>
      <c r="E17" s="154"/>
      <c r="F17" s="154"/>
      <c r="G17" s="177" t="s">
        <v>42</v>
      </c>
      <c r="H17" s="154"/>
      <c r="I17" s="155">
        <v>341871800.22</v>
      </c>
      <c r="J17" s="155">
        <v>219437183.54</v>
      </c>
      <c r="K17" s="158">
        <v>-90259788.74</v>
      </c>
      <c r="L17">
        <f>I17+K17</f>
        <v>251612011.48</v>
      </c>
      <c r="M17">
        <v>929592.66</v>
      </c>
    </row>
    <row r="18" customHeight="1" spans="1:13">
      <c r="A18" s="136"/>
      <c r="B18" s="152" t="s">
        <v>115</v>
      </c>
      <c r="C18" s="152">
        <f>C13*C15</f>
        <v>217979708.335207</v>
      </c>
      <c r="D18" s="153">
        <f>D13*D15</f>
        <v>190850158.886304</v>
      </c>
      <c r="E18" s="154"/>
      <c r="F18" s="154"/>
    </row>
    <row r="19" customHeight="1" spans="1:13">
      <c r="A19" s="136" t="s">
        <v>116</v>
      </c>
      <c r="B19" s="152" t="s">
        <v>117</v>
      </c>
      <c r="C19" s="152"/>
      <c r="D19" s="153">
        <v>217979709.45</v>
      </c>
      <c r="E19" s="154"/>
      <c r="F19" s="170"/>
      <c r="G19" t="s">
        <v>118</v>
      </c>
      <c r="H19" t="s">
        <v>119</v>
      </c>
      <c r="I19" t="s">
        <v>79</v>
      </c>
      <c r="J19" t="s">
        <v>120</v>
      </c>
    </row>
    <row r="20" s="173" customFormat="1" customHeight="1" spans="1:13">
      <c r="A20" s="136"/>
      <c r="B20" s="161" t="s">
        <v>121</v>
      </c>
      <c r="C20" s="161"/>
      <c r="D20" s="162">
        <f>D19-D18</f>
        <v>27129550.5636958</v>
      </c>
      <c r="E20" s="185"/>
      <c r="F20" s="185"/>
      <c r="G20" s="186">
        <v>156337302.69</v>
      </c>
      <c r="H20" s="186">
        <v>252179955.82</v>
      </c>
      <c r="I20" s="173">
        <f>G20-H20</f>
        <v>-95842653.13</v>
      </c>
      <c r="J20" s="173" t="s">
        <v>122</v>
      </c>
    </row>
    <row r="21" customHeight="1" spans="1:13">
      <c r="G21" s="186">
        <v>217979709.45</v>
      </c>
      <c r="H21" s="187">
        <v>211910726.72</v>
      </c>
      <c r="I21">
        <f>G21-H21</f>
        <v>6068982.72999999</v>
      </c>
      <c r="J21" t="s">
        <v>123</v>
      </c>
    </row>
    <row r="22" customHeight="1" spans="1:13">
      <c r="D22" s="133">
        <f>D23-D24</f>
        <v>22052908.9383314</v>
      </c>
      <c r="F22">
        <f>D8/D16</f>
        <v>31909726.8799394</v>
      </c>
    </row>
    <row r="23" customHeight="1" spans="1:13">
      <c r="D23" s="133">
        <v>14452878.27</v>
      </c>
      <c r="I23">
        <f>K17*D16</f>
        <v>-57986258.4262118</v>
      </c>
    </row>
    <row r="24" customHeight="1" spans="1:13">
      <c r="D24" s="133">
        <v>-7600030.66833138</v>
      </c>
    </row>
    <row r="27" customHeight="1" spans="1:13">
      <c r="D27" s="133">
        <f>D20+D24</f>
        <v>19529519.8953645</v>
      </c>
    </row>
  </sheetData>
  <mergeCells count="5">
    <mergeCell ref="A1:D1"/>
    <mergeCell ref="A4:A13"/>
    <mergeCell ref="A15:A17"/>
    <mergeCell ref="A19:A20"/>
    <mergeCell ref="G2:H3"/>
  </mergeCells>
  <pageMargins left="0.7" right="0.7" top="0.75" bottom="0.75" header="0.3" footer="0.3"/>
  <pageSetup paperSize="9" orientation="portrait"/>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I39"/>
  <sheetViews>
    <sheetView workbookViewId="0">
      <pane ySplit="2" topLeftCell="A3" activePane="bottomLeft" state="frozen"/>
      <selection/>
      <selection pane="bottomLeft" activeCell="D30" sqref="D30"/>
    </sheetView>
  </sheetViews>
  <sheetFormatPr defaultColWidth="9" defaultRowHeight="24.05" customHeight="1"/>
  <cols>
    <col min="2" max="2" width="25.2583333333333" customWidth="1"/>
    <col min="3" max="3" width="18.2583333333333" customWidth="1"/>
    <col min="4" max="4" width="28.625" customWidth="1"/>
    <col min="6" max="7" width="17.375" customWidth="1"/>
    <col min="8" max="8" width="18.375" style="165" customWidth="1"/>
    <col min="9" max="9" width="31.125" customWidth="1"/>
  </cols>
  <sheetData>
    <row r="1" s="164" customFormat="1" customHeight="1" spans="1:9">
      <c r="A1" s="166" t="s">
        <v>124</v>
      </c>
      <c r="B1" s="166"/>
      <c r="C1" s="166"/>
      <c r="D1" s="166"/>
      <c r="E1" s="166"/>
      <c r="F1" s="166"/>
      <c r="G1" s="166"/>
      <c r="H1" s="166"/>
      <c r="I1" s="166"/>
    </row>
    <row r="2" s="164" customFormat="1" customHeight="1" spans="1:9">
      <c r="A2" s="167" t="s">
        <v>125</v>
      </c>
      <c r="B2" s="167" t="s">
        <v>126</v>
      </c>
      <c r="C2" s="167" t="s">
        <v>127</v>
      </c>
      <c r="D2" s="167" t="s">
        <v>128</v>
      </c>
      <c r="E2" s="167"/>
      <c r="F2" s="167" t="s">
        <v>129</v>
      </c>
      <c r="G2" s="167" t="s">
        <v>125</v>
      </c>
      <c r="H2" s="168" t="s">
        <v>127</v>
      </c>
      <c r="I2" s="167"/>
    </row>
    <row r="3" customHeight="1" spans="1:9">
      <c r="A3" s="154" t="s">
        <v>130</v>
      </c>
      <c r="B3" s="169" t="s">
        <v>98</v>
      </c>
      <c r="C3" s="170">
        <v>70242136.47</v>
      </c>
      <c r="D3" s="154" t="s">
        <v>131</v>
      </c>
      <c r="E3" s="154"/>
      <c r="F3" s="154"/>
      <c r="G3" s="154" t="s">
        <v>132</v>
      </c>
      <c r="H3" s="171">
        <v>136371041.45</v>
      </c>
      <c r="I3" s="154"/>
    </row>
    <row r="4" customHeight="1" spans="1:9">
      <c r="A4" s="154" t="s">
        <v>130</v>
      </c>
      <c r="B4" s="169"/>
      <c r="C4" s="170">
        <v>30000000</v>
      </c>
      <c r="D4" s="154" t="s">
        <v>133</v>
      </c>
      <c r="E4" s="154"/>
      <c r="F4" s="154"/>
      <c r="G4" s="154" t="s">
        <v>134</v>
      </c>
      <c r="H4" s="171">
        <v>762405.96</v>
      </c>
      <c r="I4" s="154"/>
    </row>
    <row r="5" customHeight="1" spans="1:9">
      <c r="A5" s="154" t="s">
        <v>135</v>
      </c>
      <c r="B5" s="169"/>
      <c r="C5" s="172">
        <v>126382305.38</v>
      </c>
      <c r="D5" s="154"/>
      <c r="E5" s="154"/>
      <c r="F5" s="154"/>
      <c r="G5" s="154" t="s">
        <v>136</v>
      </c>
      <c r="H5" s="171">
        <v>3439847.5</v>
      </c>
      <c r="I5" s="154"/>
    </row>
    <row r="6" customHeight="1" spans="1:9">
      <c r="A6" s="154" t="s">
        <v>135</v>
      </c>
      <c r="B6" s="169"/>
      <c r="C6" s="172">
        <v>1302708.95</v>
      </c>
      <c r="D6" s="154"/>
      <c r="E6" s="154"/>
      <c r="F6" s="154"/>
      <c r="G6" s="154" t="s">
        <v>137</v>
      </c>
      <c r="H6" s="171">
        <v>1374243.19</v>
      </c>
      <c r="I6" s="154"/>
    </row>
    <row r="7" customHeight="1" spans="1:9">
      <c r="A7" s="154" t="s">
        <v>138</v>
      </c>
      <c r="B7" s="154"/>
      <c r="C7" s="172">
        <v>30791555.22</v>
      </c>
      <c r="D7" s="154"/>
      <c r="E7" s="154"/>
      <c r="F7" s="154"/>
      <c r="G7" s="154" t="s">
        <v>139</v>
      </c>
      <c r="H7" s="171">
        <v>1320567.35</v>
      </c>
      <c r="I7" s="154"/>
    </row>
    <row r="8" customHeight="1" spans="1:9">
      <c r="A8" s="154" t="s">
        <v>140</v>
      </c>
      <c r="B8" s="154"/>
      <c r="C8" s="154">
        <f>SUM(C3:C7)</f>
        <v>258718706.02</v>
      </c>
      <c r="D8" s="154"/>
      <c r="E8" s="154"/>
      <c r="F8" s="154"/>
      <c r="G8" s="154" t="s">
        <v>141</v>
      </c>
      <c r="H8" s="171">
        <v>1319185.31</v>
      </c>
      <c r="I8" s="154"/>
    </row>
    <row r="9" customHeight="1" spans="1:9">
      <c r="A9" s="154"/>
      <c r="B9" s="154"/>
      <c r="C9" s="154"/>
      <c r="D9" s="154"/>
      <c r="E9" s="154"/>
      <c r="F9" s="154"/>
      <c r="G9" s="154" t="s">
        <v>142</v>
      </c>
      <c r="H9" s="171">
        <v>794267.81</v>
      </c>
      <c r="I9" s="154"/>
    </row>
    <row r="10" customHeight="1" spans="1:9">
      <c r="A10" s="154"/>
      <c r="B10" s="154"/>
      <c r="C10" s="154"/>
      <c r="D10" s="154"/>
      <c r="E10" s="154"/>
      <c r="F10" s="154"/>
      <c r="G10" s="154" t="s">
        <v>143</v>
      </c>
      <c r="H10" s="171">
        <v>1996315.05</v>
      </c>
      <c r="I10" s="154"/>
    </row>
    <row r="11" customHeight="1" spans="1:9">
      <c r="A11" s="154" t="s">
        <v>135</v>
      </c>
      <c r="B11" s="169" t="s">
        <v>89</v>
      </c>
      <c r="C11" s="154">
        <v>64406734.25</v>
      </c>
      <c r="D11" s="154"/>
      <c r="E11" s="154"/>
      <c r="F11" s="154"/>
      <c r="G11" s="154" t="s">
        <v>144</v>
      </c>
      <c r="H11" s="171">
        <v>-3705536.8</v>
      </c>
      <c r="I11" s="154" t="s">
        <v>145</v>
      </c>
    </row>
    <row r="12" customHeight="1" spans="1:9">
      <c r="A12" s="154" t="s">
        <v>138</v>
      </c>
      <c r="B12" s="169"/>
      <c r="C12" s="154">
        <v>472105</v>
      </c>
      <c r="D12" s="154"/>
      <c r="E12" s="154"/>
      <c r="F12" s="154"/>
      <c r="G12" s="154" t="s">
        <v>146</v>
      </c>
      <c r="H12" s="171">
        <v>-2363445.9</v>
      </c>
      <c r="I12" s="154" t="s">
        <v>145</v>
      </c>
    </row>
    <row r="13" customHeight="1" spans="1:9">
      <c r="A13" s="154" t="s">
        <v>138</v>
      </c>
      <c r="B13" s="169" t="s">
        <v>91</v>
      </c>
      <c r="C13" s="154">
        <v>135104.61</v>
      </c>
      <c r="D13" s="154"/>
      <c r="E13" s="154"/>
      <c r="F13" s="154"/>
      <c r="G13" s="154" t="s">
        <v>147</v>
      </c>
      <c r="H13" s="171">
        <v>27935598.74</v>
      </c>
      <c r="I13" s="154"/>
    </row>
    <row r="14" customHeight="1" spans="1:9">
      <c r="A14" s="154" t="s">
        <v>135</v>
      </c>
      <c r="B14" s="169"/>
      <c r="C14" s="154">
        <v>6219583.87</v>
      </c>
      <c r="D14" s="154"/>
      <c r="E14" s="154"/>
      <c r="F14" s="154"/>
      <c r="G14" s="154" t="s">
        <v>148</v>
      </c>
      <c r="H14" s="171">
        <v>439267.75</v>
      </c>
      <c r="I14" s="154"/>
    </row>
    <row r="15" customHeight="1" spans="1:9">
      <c r="A15" s="154" t="s">
        <v>135</v>
      </c>
      <c r="B15" s="169"/>
      <c r="C15" s="154">
        <v>3715441.65</v>
      </c>
      <c r="D15" s="154"/>
      <c r="E15" s="154"/>
      <c r="F15" s="154"/>
      <c r="G15" s="154"/>
      <c r="H15" s="171">
        <v>0</v>
      </c>
      <c r="I15" s="154"/>
    </row>
    <row r="16" customHeight="1" spans="1:9">
      <c r="A16" s="154" t="s">
        <v>135</v>
      </c>
      <c r="B16" s="169"/>
      <c r="C16" s="154">
        <v>7614.36</v>
      </c>
      <c r="D16" s="154"/>
      <c r="E16" s="154"/>
      <c r="F16" s="154"/>
      <c r="G16" s="154" t="s">
        <v>149</v>
      </c>
      <c r="H16" s="171">
        <v>-0.03</v>
      </c>
      <c r="I16" s="154"/>
    </row>
    <row r="17" customHeight="1" spans="1:9">
      <c r="A17" s="154" t="s">
        <v>138</v>
      </c>
      <c r="B17" s="169" t="s">
        <v>94</v>
      </c>
      <c r="C17" s="154">
        <v>276539.84</v>
      </c>
      <c r="D17" s="154"/>
      <c r="E17" s="154"/>
      <c r="F17" s="154"/>
      <c r="G17" s="154" t="s">
        <v>150</v>
      </c>
      <c r="H17" s="171">
        <v>2403347.42</v>
      </c>
      <c r="I17" s="154"/>
    </row>
    <row r="18" customHeight="1" spans="1:9">
      <c r="A18" s="154" t="s">
        <v>135</v>
      </c>
      <c r="B18" s="169"/>
      <c r="C18" s="154">
        <v>1515359.43</v>
      </c>
      <c r="D18" s="154"/>
      <c r="E18" s="154"/>
      <c r="F18" s="154"/>
      <c r="G18" s="154" t="s">
        <v>151</v>
      </c>
      <c r="H18" s="171">
        <v>520435.17</v>
      </c>
      <c r="I18" s="154"/>
    </row>
    <row r="19" customHeight="1" spans="1:9">
      <c r="A19" s="154" t="s">
        <v>135</v>
      </c>
      <c r="B19" s="169"/>
      <c r="C19" s="154">
        <v>553320.62</v>
      </c>
      <c r="D19" s="154"/>
      <c r="E19" s="154"/>
      <c r="F19" s="154"/>
      <c r="G19" s="154" t="s">
        <v>152</v>
      </c>
      <c r="H19" s="171">
        <v>439267.75</v>
      </c>
      <c r="I19" s="154"/>
    </row>
    <row r="20" customHeight="1" spans="1:9">
      <c r="A20" s="154" t="s">
        <v>135</v>
      </c>
      <c r="B20" s="169"/>
      <c r="C20" s="154">
        <v>152433.49</v>
      </c>
      <c r="D20" s="154"/>
      <c r="E20" s="154"/>
      <c r="F20" s="154"/>
      <c r="G20" s="154" t="s">
        <v>153</v>
      </c>
      <c r="H20" s="171">
        <v>439267.75</v>
      </c>
      <c r="I20" s="154"/>
    </row>
    <row r="21" customHeight="1" spans="1:9">
      <c r="A21" s="154" t="s">
        <v>135</v>
      </c>
      <c r="B21" s="169" t="s">
        <v>99</v>
      </c>
      <c r="C21" s="154">
        <v>1987684.41</v>
      </c>
      <c r="D21" s="154"/>
      <c r="E21" s="154"/>
      <c r="F21" s="154"/>
      <c r="G21" s="154" t="s">
        <v>154</v>
      </c>
      <c r="H21" s="171">
        <v>472511.66</v>
      </c>
      <c r="I21" s="154"/>
    </row>
    <row r="22" customHeight="1" spans="1:9">
      <c r="A22" s="154" t="s">
        <v>135</v>
      </c>
      <c r="B22" s="169"/>
      <c r="C22" s="154">
        <v>3542119.46</v>
      </c>
      <c r="D22" s="154"/>
      <c r="E22" s="154"/>
      <c r="F22" s="154"/>
      <c r="G22" s="154" t="s">
        <v>155</v>
      </c>
      <c r="H22" s="171">
        <v>643512.32</v>
      </c>
      <c r="I22" s="154"/>
    </row>
    <row r="23" customHeight="1" spans="1:9">
      <c r="A23" s="154" t="s">
        <v>138</v>
      </c>
      <c r="B23" s="169"/>
      <c r="C23" s="154">
        <v>169053.21</v>
      </c>
      <c r="D23" s="154"/>
      <c r="E23" s="154"/>
      <c r="F23" s="154"/>
      <c r="G23" s="154" t="s">
        <v>156</v>
      </c>
      <c r="H23" s="171">
        <v>474267.23</v>
      </c>
      <c r="I23" s="154"/>
    </row>
    <row r="24" customHeight="1" spans="1:9">
      <c r="A24" s="154"/>
      <c r="B24" s="154"/>
      <c r="C24" s="154"/>
      <c r="D24" s="154"/>
      <c r="E24" s="154"/>
      <c r="F24" s="154"/>
      <c r="G24" s="154" t="s">
        <v>157</v>
      </c>
      <c r="H24" s="171">
        <v>439267.75</v>
      </c>
      <c r="I24" s="154"/>
    </row>
    <row r="25" customHeight="1" spans="1:9">
      <c r="A25" s="154"/>
      <c r="B25" s="154"/>
      <c r="C25" s="154"/>
      <c r="D25" s="154"/>
      <c r="E25" s="154"/>
      <c r="F25" s="154"/>
      <c r="G25" s="154" t="s">
        <v>158</v>
      </c>
      <c r="H25" s="171">
        <v>321756.16</v>
      </c>
      <c r="I25" s="154"/>
    </row>
    <row r="26" customHeight="1" spans="1:9">
      <c r="A26" s="154"/>
      <c r="B26" s="154"/>
      <c r="C26" s="154"/>
      <c r="D26" s="154"/>
      <c r="E26" s="154"/>
      <c r="F26" s="154"/>
      <c r="G26" s="154"/>
      <c r="H26" s="171">
        <v>0</v>
      </c>
      <c r="I26" s="154"/>
    </row>
    <row r="27" customHeight="1" spans="1:9">
      <c r="A27" s="154"/>
      <c r="B27" s="154"/>
      <c r="C27" s="154"/>
      <c r="D27" s="154"/>
      <c r="E27" s="154"/>
      <c r="F27" s="154"/>
      <c r="G27" s="154" t="s">
        <v>159</v>
      </c>
      <c r="H27" s="171">
        <v>440164.22</v>
      </c>
      <c r="I27" s="154"/>
    </row>
    <row r="28" customHeight="1" spans="1:9">
      <c r="A28" s="154"/>
      <c r="B28" s="154"/>
      <c r="C28" s="154"/>
      <c r="D28" s="154"/>
      <c r="E28" s="154"/>
      <c r="F28" s="154"/>
      <c r="G28" s="154" t="s">
        <v>130</v>
      </c>
      <c r="H28" s="171">
        <v>35633171.91</v>
      </c>
      <c r="I28" s="154"/>
    </row>
    <row r="29" customHeight="1" spans="1:9">
      <c r="H29" s="165">
        <f>SUM(H3:H28)</f>
        <v>211910726.72</v>
      </c>
    </row>
    <row r="33" customHeight="1" spans="2:2">
      <c r="B33" t="s">
        <v>87</v>
      </c>
    </row>
    <row r="34" customHeight="1" spans="2:2">
      <c r="B34" t="s">
        <v>89</v>
      </c>
    </row>
    <row r="35" customHeight="1" spans="2:2">
      <c r="B35" t="s">
        <v>91</v>
      </c>
    </row>
    <row r="36" customHeight="1" spans="2:2">
      <c r="B36" t="s">
        <v>94</v>
      </c>
    </row>
    <row r="37" customHeight="1" spans="2:2">
      <c r="B37" t="s">
        <v>98</v>
      </c>
    </row>
    <row r="38" customHeight="1" spans="2:2">
      <c r="B38" t="s">
        <v>99</v>
      </c>
    </row>
    <row r="39" customHeight="1" spans="2:2">
      <c r="B39" t="s">
        <v>160</v>
      </c>
    </row>
  </sheetData>
  <mergeCells count="6">
    <mergeCell ref="A1:I1"/>
    <mergeCell ref="B3:B6"/>
    <mergeCell ref="B11:B12"/>
    <mergeCell ref="B13:B16"/>
    <mergeCell ref="B17:B20"/>
    <mergeCell ref="B21:B23"/>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L35"/>
  <sheetViews>
    <sheetView tabSelected="1" workbookViewId="0">
      <pane ySplit="2" topLeftCell="A4" activePane="bottomLeft" state="frozen"/>
      <selection/>
      <selection pane="bottomLeft" activeCell="C24" sqref="C24"/>
    </sheetView>
  </sheetViews>
  <sheetFormatPr defaultColWidth="9" defaultRowHeight="24.05" customHeight="1"/>
  <cols>
    <col min="2" max="2" width="20.7583333333333" customWidth="1"/>
    <col min="3" max="4" width="19" customWidth="1"/>
    <col min="5" max="5" width="18.2583333333333" customWidth="1"/>
    <col min="6" max="8" width="21" customWidth="1"/>
    <col min="9" max="9" width="14.4583333333333" customWidth="1"/>
    <col min="10" max="10" width="19.275" customWidth="1"/>
    <col min="11" max="11" width="18.2583333333333" customWidth="1"/>
    <col min="12" max="12" width="18.625" customWidth="1"/>
  </cols>
  <sheetData>
    <row r="1" customHeight="1" spans="1:12">
      <c r="A1" s="132" t="s">
        <v>161</v>
      </c>
      <c r="B1" s="132"/>
      <c r="C1" s="132"/>
      <c r="D1" s="132"/>
      <c r="E1" s="132"/>
      <c r="F1" s="132"/>
      <c r="G1" s="132"/>
      <c r="H1" s="132"/>
      <c r="I1" s="133"/>
    </row>
    <row r="2" customHeight="1" spans="1:12">
      <c r="A2" s="134"/>
      <c r="B2" s="135" t="s">
        <v>54</v>
      </c>
      <c r="C2" s="135" t="s">
        <v>162</v>
      </c>
      <c r="D2" s="135" t="s">
        <v>163</v>
      </c>
      <c r="E2" s="133"/>
      <c r="F2" s="133"/>
      <c r="G2" s="133"/>
      <c r="H2" s="133"/>
      <c r="I2" s="133"/>
    </row>
    <row r="3" customHeight="1" spans="1:12">
      <c r="A3" s="136" t="s">
        <v>81</v>
      </c>
      <c r="B3" s="134" t="s">
        <v>82</v>
      </c>
      <c r="C3" s="137">
        <f>一期二期面积统计!D2</f>
        <v>43347.82</v>
      </c>
      <c r="D3" s="137"/>
      <c r="E3" s="133"/>
      <c r="F3" s="133"/>
      <c r="G3" s="133" t="s">
        <v>164</v>
      </c>
      <c r="H3" s="133"/>
      <c r="I3" s="133"/>
    </row>
    <row r="4" customHeight="1" spans="1:12">
      <c r="A4" s="136" t="s">
        <v>85</v>
      </c>
      <c r="B4" s="134" t="s">
        <v>86</v>
      </c>
      <c r="C4" s="137">
        <f>C5+C6+C7+C10</f>
        <v>179255767.47</v>
      </c>
      <c r="D4" s="137"/>
      <c r="E4" s="133" t="s">
        <v>165</v>
      </c>
      <c r="F4" s="133">
        <v>36384274.5334033</v>
      </c>
      <c r="G4" s="133">
        <v>99770899.52</v>
      </c>
      <c r="H4" s="133">
        <f>C5+二期税代单方面积核算!D5</f>
        <v>99770899.52</v>
      </c>
      <c r="I4" s="133"/>
    </row>
    <row r="5" customHeight="1" spans="1:12">
      <c r="A5" s="136"/>
      <c r="B5" s="138" t="s">
        <v>88</v>
      </c>
      <c r="C5" s="139">
        <v>34892060.27</v>
      </c>
      <c r="D5" s="139"/>
      <c r="E5" s="133" t="s">
        <v>166</v>
      </c>
      <c r="F5" s="133">
        <v>64878839.25</v>
      </c>
      <c r="G5" s="133"/>
      <c r="H5" s="133"/>
      <c r="I5" s="133"/>
    </row>
    <row r="6" customHeight="1" spans="1:12">
      <c r="A6" s="136"/>
      <c r="B6" s="138" t="s">
        <v>90</v>
      </c>
      <c r="C6" s="137"/>
      <c r="D6" s="137"/>
      <c r="E6" s="133"/>
      <c r="F6" s="133"/>
      <c r="G6" s="133"/>
      <c r="H6" s="133"/>
      <c r="I6" s="133"/>
      <c r="J6" t="s">
        <v>167</v>
      </c>
      <c r="K6" t="s">
        <v>168</v>
      </c>
    </row>
    <row r="7" customHeight="1" spans="1:12">
      <c r="A7" s="136"/>
      <c r="B7" s="134" t="s">
        <v>169</v>
      </c>
      <c r="C7" s="140">
        <f>H20-C5+J20+L20</f>
        <v>133708492.41</v>
      </c>
      <c r="D7" s="140"/>
      <c r="E7" s="141" t="s">
        <v>170</v>
      </c>
      <c r="F7" s="142">
        <f>+[1]合同清单1!I21+[1]合同清单1!I29+[1]合同签清单2!C23</f>
        <v>135484181.338111</v>
      </c>
      <c r="G7" s="133"/>
      <c r="H7" s="142">
        <f>+[1]合同清单1!G29+[1]合同清单1!G21+[1]合同签清单2!C21</f>
        <v>147415822.93</v>
      </c>
      <c r="I7" s="133"/>
    </row>
    <row r="8" customHeight="1" spans="1:12">
      <c r="A8" s="136"/>
      <c r="B8" s="134" t="s">
        <v>171</v>
      </c>
      <c r="C8" s="137"/>
      <c r="D8" s="137"/>
      <c r="E8" s="143" t="s">
        <v>172</v>
      </c>
      <c r="F8" s="144">
        <v>87175800.38</v>
      </c>
      <c r="G8" s="133">
        <v>87175800.38</v>
      </c>
      <c r="H8" s="144">
        <v>87175800.38</v>
      </c>
      <c r="I8" s="133"/>
    </row>
    <row r="9" customHeight="1" spans="1:12">
      <c r="A9" s="136"/>
      <c r="B9" s="134" t="s">
        <v>173</v>
      </c>
      <c r="C9" s="137"/>
      <c r="D9" s="137"/>
      <c r="E9" s="143" t="s">
        <v>174</v>
      </c>
      <c r="F9" s="144">
        <v>3710797.93</v>
      </c>
      <c r="G9" s="133"/>
      <c r="H9" s="144">
        <v>3710797.93</v>
      </c>
      <c r="I9" s="133"/>
    </row>
    <row r="10" customHeight="1" spans="1:12">
      <c r="A10" s="136"/>
      <c r="B10" s="134" t="s">
        <v>39</v>
      </c>
      <c r="C10" s="137">
        <f>'与通力股份合同总计 (3)'!O4</f>
        <v>10655214.79</v>
      </c>
      <c r="D10" s="137"/>
      <c r="E10" s="143"/>
      <c r="F10" s="144"/>
      <c r="G10" s="133"/>
      <c r="H10" s="144"/>
      <c r="I10" s="133"/>
    </row>
    <row r="11" customHeight="1" spans="1:12">
      <c r="A11" s="136"/>
      <c r="B11" s="134" t="s">
        <v>97</v>
      </c>
      <c r="C11" s="137"/>
      <c r="D11" s="137"/>
      <c r="E11" s="143" t="s">
        <v>90</v>
      </c>
      <c r="F11" s="144">
        <v>4099232.65</v>
      </c>
      <c r="G11" s="133"/>
      <c r="H11" s="144">
        <v>4099232.65</v>
      </c>
      <c r="I11" s="133"/>
    </row>
    <row r="12" customHeight="1" spans="1:12">
      <c r="A12" s="136"/>
      <c r="B12" s="134" t="s">
        <v>171</v>
      </c>
      <c r="C12" s="137"/>
      <c r="D12" s="137"/>
      <c r="E12" s="143" t="s">
        <v>97</v>
      </c>
      <c r="F12" s="145">
        <v>7357454.55</v>
      </c>
      <c r="G12" s="146">
        <v>101177820.46</v>
      </c>
      <c r="H12" s="145">
        <v>7357454.55</v>
      </c>
      <c r="I12" s="133"/>
    </row>
    <row r="13" customHeight="1" spans="1:12">
      <c r="A13" s="136"/>
      <c r="B13" s="134" t="s">
        <v>173</v>
      </c>
      <c r="C13" s="137"/>
      <c r="D13" s="137"/>
      <c r="E13" s="143" t="s">
        <v>175</v>
      </c>
      <c r="F13" s="144">
        <v>886142.74</v>
      </c>
      <c r="G13" s="147" t="e">
        <f>+G12+F8+F9+F11+#REF!+F12+F13</f>
        <v>#REF!</v>
      </c>
      <c r="H13" s="144">
        <v>886142.74</v>
      </c>
      <c r="I13" s="133"/>
    </row>
    <row r="14" customHeight="1" spans="1:12">
      <c r="A14" s="136"/>
      <c r="B14" s="134" t="s">
        <v>175</v>
      </c>
      <c r="C14" s="137"/>
      <c r="D14" s="137"/>
      <c r="E14" s="148" t="s">
        <v>176</v>
      </c>
      <c r="F14" s="149">
        <f>+F7-F8-F9-F11-F12-F13</f>
        <v>32254753.0881115</v>
      </c>
      <c r="G14" s="146">
        <v>239299308.98</v>
      </c>
      <c r="H14" s="149">
        <f>+H7-H8-H9-H11-H12-H13</f>
        <v>44186394.68</v>
      </c>
      <c r="I14" s="133"/>
      <c r="J14">
        <v>19253632.83</v>
      </c>
      <c r="K14" s="150">
        <f>(J14+J15)*0.1</f>
        <v>15383466.804</v>
      </c>
      <c r="L14" s="150" t="s">
        <v>177</v>
      </c>
    </row>
    <row r="15" customHeight="1" spans="1:12">
      <c r="A15" s="151"/>
      <c r="B15" s="134"/>
      <c r="C15" s="137"/>
      <c r="D15" s="137"/>
      <c r="E15" s="133"/>
      <c r="F15" s="133"/>
      <c r="G15" s="147" t="e">
        <f>+G13-G14</f>
        <v>#REF!</v>
      </c>
      <c r="H15" s="133"/>
      <c r="I15" s="133"/>
      <c r="J15">
        <v>134581035.21</v>
      </c>
      <c r="K15" s="150"/>
      <c r="L15" s="150"/>
    </row>
    <row r="16" customHeight="1" spans="1:12">
      <c r="A16" s="136" t="s">
        <v>105</v>
      </c>
      <c r="B16" s="152" t="s">
        <v>104</v>
      </c>
      <c r="C16" s="153">
        <f>C4/C3</f>
        <v>4135.28909804461</v>
      </c>
      <c r="D16" s="152"/>
      <c r="E16" s="133">
        <f>C16-二期税代单方面积核算!D13</f>
        <v>201.504441991201</v>
      </c>
      <c r="F16" s="147">
        <f>SUM(F8:F13)</f>
        <v>103229428.25</v>
      </c>
      <c r="G16" s="133">
        <f>+F14-G12</f>
        <v>-68923067.3718885</v>
      </c>
      <c r="H16" s="133"/>
      <c r="I16" s="133"/>
    </row>
    <row r="17" customHeight="1" spans="1:12">
      <c r="A17" s="136"/>
      <c r="B17" s="152" t="s">
        <v>178</v>
      </c>
      <c r="C17" s="152"/>
      <c r="D17" s="152"/>
      <c r="E17" s="133"/>
      <c r="F17" s="133"/>
      <c r="G17" s="133"/>
      <c r="H17" s="133"/>
      <c r="I17" s="133"/>
    </row>
    <row r="18" customHeight="1" spans="1:12">
      <c r="A18" s="136"/>
      <c r="B18" s="152" t="s">
        <v>179</v>
      </c>
      <c r="C18" s="152"/>
      <c r="D18" s="152"/>
      <c r="E18" s="133"/>
      <c r="F18" s="133"/>
      <c r="G18" s="133"/>
      <c r="H18" s="133"/>
      <c r="I18" s="133"/>
    </row>
    <row r="19" customHeight="1" spans="1:12">
      <c r="A19" s="136"/>
      <c r="B19" s="152"/>
      <c r="C19" s="152"/>
      <c r="D19" s="152"/>
      <c r="E19" s="217" t="s">
        <v>180</v>
      </c>
      <c r="F19" s="154"/>
      <c r="G19" s="154"/>
      <c r="H19" s="154" t="s">
        <v>107</v>
      </c>
      <c r="I19" s="154" t="s">
        <v>108</v>
      </c>
      <c r="J19" t="s">
        <v>109</v>
      </c>
      <c r="K19" t="s">
        <v>181</v>
      </c>
      <c r="L19" t="s">
        <v>111</v>
      </c>
    </row>
    <row r="20" customHeight="1" spans="1:12">
      <c r="A20" s="136" t="s">
        <v>116</v>
      </c>
      <c r="B20" s="152" t="s">
        <v>106</v>
      </c>
      <c r="C20" s="153">
        <v>39643.5</v>
      </c>
      <c r="D20" s="153"/>
      <c r="E20" s="133" t="s">
        <v>182</v>
      </c>
      <c r="F20" s="154" t="s">
        <v>41</v>
      </c>
      <c r="G20" s="154"/>
      <c r="H20" s="155">
        <v>170376241.61</v>
      </c>
      <c r="I20" s="155">
        <v>157246699.8</v>
      </c>
      <c r="J20" s="156">
        <v>-16986698.1</v>
      </c>
      <c r="K20">
        <f>H20+J20</f>
        <v>153389543.51</v>
      </c>
      <c r="L20">
        <v>15211009.17</v>
      </c>
    </row>
    <row r="21" customHeight="1" spans="1:12">
      <c r="A21" s="136"/>
      <c r="B21" s="152" t="s">
        <v>112</v>
      </c>
      <c r="C21" s="157">
        <f>C20/C3</f>
        <v>0.914544260818652</v>
      </c>
      <c r="D21" s="157"/>
      <c r="E21" s="133"/>
      <c r="F21" s="154" t="s">
        <v>42</v>
      </c>
      <c r="G21" s="154"/>
      <c r="H21" s="155">
        <v>341871800.22</v>
      </c>
      <c r="I21" s="155">
        <v>219437183.54</v>
      </c>
      <c r="J21" s="158">
        <v>-90259788.74</v>
      </c>
      <c r="K21">
        <f>H21+J21</f>
        <v>251612011.48</v>
      </c>
      <c r="L21">
        <v>929592.66</v>
      </c>
    </row>
    <row r="22" customHeight="1" spans="1:12">
      <c r="A22" s="136"/>
      <c r="B22" s="152" t="s">
        <v>114</v>
      </c>
      <c r="C22" s="159"/>
      <c r="D22" s="159"/>
      <c r="E22" s="133"/>
      <c r="F22" s="133"/>
      <c r="G22" s="133"/>
      <c r="H22" s="133"/>
      <c r="I22" s="133"/>
    </row>
    <row r="23" customHeight="1" spans="1:12">
      <c r="A23" s="136"/>
      <c r="B23" s="152" t="s">
        <v>115</v>
      </c>
      <c r="C23" s="153">
        <f>C20*C16</f>
        <v>163937333.358331</v>
      </c>
      <c r="D23" s="153"/>
      <c r="E23" s="133"/>
      <c r="F23" s="133"/>
      <c r="G23" s="133"/>
      <c r="H23" s="133">
        <f>H20/C3</f>
        <v>3930.44544362323</v>
      </c>
      <c r="I23" s="133"/>
    </row>
    <row r="24" customHeight="1" spans="1:12">
      <c r="A24" s="160"/>
      <c r="B24" s="152" t="s">
        <v>117</v>
      </c>
      <c r="C24" s="153">
        <v>156337302.69</v>
      </c>
      <c r="D24" s="153"/>
      <c r="E24" s="133"/>
      <c r="F24" s="133"/>
      <c r="G24" s="133"/>
      <c r="H24" s="133">
        <f>H21/二期税代单方面积核算!D3</f>
        <v>4527.01683013295</v>
      </c>
      <c r="I24" s="133"/>
    </row>
    <row r="25" customHeight="1" spans="1:12">
      <c r="A25" s="160"/>
      <c r="B25" s="161" t="s">
        <v>121</v>
      </c>
      <c r="C25" s="162">
        <f>C24-C23</f>
        <v>-7600030.66833138</v>
      </c>
      <c r="D25" s="162"/>
      <c r="E25" s="146"/>
      <c r="F25" s="133"/>
      <c r="G25" s="133"/>
      <c r="H25" s="133"/>
      <c r="I25" s="133"/>
    </row>
    <row r="26" customHeight="1" spans="1:12">
      <c r="A26" s="160"/>
      <c r="B26" s="152" t="s">
        <v>183</v>
      </c>
      <c r="C26" s="153"/>
      <c r="D26" s="153"/>
      <c r="E26" s="133"/>
      <c r="F26" s="133"/>
      <c r="G26" s="133"/>
      <c r="H26" s="133"/>
      <c r="I26" s="133"/>
    </row>
    <row r="27" customHeight="1" spans="1:12">
      <c r="A27" s="160"/>
      <c r="B27" s="152" t="s">
        <v>184</v>
      </c>
      <c r="C27" s="163"/>
      <c r="D27" s="163"/>
      <c r="E27" s="133"/>
      <c r="F27" s="133"/>
      <c r="G27" s="133"/>
      <c r="H27" s="133"/>
      <c r="I27" s="133"/>
    </row>
    <row r="28" customHeight="1" spans="1:12">
      <c r="A28" s="160"/>
      <c r="B28" s="152" t="s">
        <v>185</v>
      </c>
      <c r="C28" s="163"/>
      <c r="D28" s="163"/>
      <c r="E28" s="133"/>
      <c r="F28" s="133"/>
      <c r="G28" s="133"/>
      <c r="H28" s="133"/>
      <c r="I28" s="133"/>
    </row>
    <row r="29" customHeight="1" spans="1:12">
      <c r="A29" s="133"/>
      <c r="B29" s="133"/>
      <c r="C29" s="133"/>
      <c r="D29" s="133"/>
      <c r="E29" s="133"/>
      <c r="F29" s="133"/>
      <c r="G29" s="133"/>
      <c r="H29" s="133"/>
      <c r="I29" s="133"/>
    </row>
    <row r="30" customHeight="1" spans="1:12">
      <c r="A30" s="133"/>
      <c r="B30" s="133"/>
      <c r="C30" s="133"/>
      <c r="D30" s="133"/>
      <c r="E30" s="133"/>
      <c r="F30" s="133"/>
      <c r="G30" s="133"/>
      <c r="H30" s="133"/>
      <c r="I30" s="133"/>
    </row>
    <row r="31" customHeight="1" spans="1:12">
      <c r="A31" s="133"/>
      <c r="B31" s="133"/>
      <c r="C31" s="133"/>
      <c r="D31" s="133"/>
      <c r="E31" s="133"/>
      <c r="F31" s="133"/>
      <c r="G31" s="133"/>
      <c r="H31" s="133"/>
      <c r="I31" s="133"/>
    </row>
    <row r="32" customHeight="1" spans="1:12">
      <c r="A32" s="133"/>
      <c r="B32" s="133"/>
      <c r="C32" s="133"/>
      <c r="D32" s="133"/>
      <c r="E32" s="133" t="e">
        <f>#REF!-#REF!</f>
        <v>#REF!</v>
      </c>
      <c r="F32" s="133" t="s">
        <v>186</v>
      </c>
      <c r="G32" s="133"/>
      <c r="H32" s="133" t="s">
        <v>187</v>
      </c>
      <c r="I32" s="133"/>
    </row>
    <row r="33" customHeight="1" spans="1:9">
      <c r="A33" s="133"/>
      <c r="B33" s="133"/>
      <c r="C33" s="133"/>
      <c r="D33" s="133"/>
      <c r="E33" s="133"/>
      <c r="F33" s="133"/>
      <c r="G33" s="133"/>
      <c r="H33" s="133"/>
      <c r="I33" s="133"/>
    </row>
    <row r="34" customHeight="1" spans="1:9">
      <c r="A34" s="133"/>
      <c r="B34" s="133"/>
      <c r="C34" s="133"/>
      <c r="D34" s="133"/>
      <c r="E34" s="133" t="e">
        <f>#REF!-#REF!</f>
        <v>#REF!</v>
      </c>
      <c r="F34" s="133" t="s">
        <v>188</v>
      </c>
      <c r="G34" s="133"/>
      <c r="H34" s="133"/>
      <c r="I34" s="133"/>
    </row>
    <row r="35" customHeight="1" spans="1:9">
      <c r="A35" s="133"/>
      <c r="B35" s="133"/>
      <c r="C35" s="133"/>
      <c r="D35" s="133"/>
      <c r="E35" s="133"/>
      <c r="F35" s="133"/>
      <c r="G35" s="133"/>
      <c r="H35" s="133"/>
      <c r="I35" s="133"/>
    </row>
  </sheetData>
  <mergeCells count="6">
    <mergeCell ref="A1:H1"/>
    <mergeCell ref="A4:A14"/>
    <mergeCell ref="A16:A18"/>
    <mergeCell ref="A20:A23"/>
    <mergeCell ref="K14:K15"/>
    <mergeCell ref="L14:L1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J170"/>
  <sheetViews>
    <sheetView topLeftCell="A134" workbookViewId="0">
      <selection activeCell="E137" sqref="E$1:E$1048576"/>
    </sheetView>
  </sheetViews>
  <sheetFormatPr defaultColWidth="9" defaultRowHeight="13.5"/>
  <cols>
    <col min="1" max="1" width="7.25833333333333" style="34" customWidth="1"/>
    <col min="2" max="2" width="14.125" style="34" customWidth="1"/>
    <col min="3" max="3" width="21.375" style="34" customWidth="1"/>
    <col min="4" max="4" width="33.625" style="35" customWidth="1"/>
    <col min="5" max="5" width="21.375" style="36" customWidth="1"/>
    <col min="6" max="6" width="7" style="37" customWidth="1"/>
    <col min="7" max="10" width="21.375" style="36" customWidth="1"/>
    <col min="11" max="16384" width="9" style="31"/>
  </cols>
  <sheetData>
    <row r="1" s="31" customFormat="1" ht="19.5" spans="1:10">
      <c r="A1" s="38" t="s">
        <v>189</v>
      </c>
      <c r="B1" s="39"/>
      <c r="C1" s="39"/>
      <c r="D1" s="39"/>
      <c r="E1" s="39"/>
      <c r="F1" s="39"/>
      <c r="G1" s="39"/>
      <c r="H1" s="39"/>
      <c r="I1" s="39"/>
      <c r="J1" s="39"/>
    </row>
    <row r="2" s="31" customFormat="1" ht="14.25" spans="1:10">
      <c r="A2" s="40" t="s">
        <v>190</v>
      </c>
      <c r="B2" s="41" t="s">
        <v>191</v>
      </c>
      <c r="C2" s="42" t="s">
        <v>192</v>
      </c>
      <c r="D2" s="41" t="s">
        <v>1</v>
      </c>
      <c r="E2" s="43" t="s">
        <v>193</v>
      </c>
      <c r="F2" s="44" t="s">
        <v>194</v>
      </c>
      <c r="G2" s="43" t="s">
        <v>195</v>
      </c>
      <c r="H2" s="45" t="s">
        <v>196</v>
      </c>
      <c r="I2" s="46" t="s">
        <v>197</v>
      </c>
      <c r="J2" s="46" t="s">
        <v>39</v>
      </c>
    </row>
    <row r="3" s="32" customFormat="1" ht="54" spans="1:10">
      <c r="A3" s="47">
        <v>3</v>
      </c>
      <c r="B3" s="48" t="s">
        <v>198</v>
      </c>
      <c r="C3" s="48" t="s">
        <v>199</v>
      </c>
      <c r="D3" s="49" t="s">
        <v>200</v>
      </c>
      <c r="E3" s="50">
        <v>80000</v>
      </c>
      <c r="F3" s="51">
        <v>0.06</v>
      </c>
      <c r="G3" s="50">
        <v>75471.6981132075</v>
      </c>
      <c r="H3" s="52">
        <v>8000</v>
      </c>
      <c r="I3" s="53"/>
      <c r="J3" s="53"/>
    </row>
    <row r="4" s="32" customFormat="1" ht="40.5" spans="1:10">
      <c r="A4" s="54">
        <v>4</v>
      </c>
      <c r="B4" s="55" t="s">
        <v>201</v>
      </c>
      <c r="C4" s="55" t="s">
        <v>199</v>
      </c>
      <c r="D4" s="56" t="s">
        <v>202</v>
      </c>
      <c r="E4" s="53">
        <v>90000</v>
      </c>
      <c r="F4" s="57">
        <v>0.06</v>
      </c>
      <c r="G4" s="53">
        <v>84905.6603773585</v>
      </c>
      <c r="H4" s="58">
        <v>0</v>
      </c>
      <c r="I4" s="53"/>
      <c r="J4" s="53"/>
    </row>
    <row r="5" s="32" customFormat="1" ht="40.5" spans="1:10">
      <c r="A5" s="54">
        <v>5</v>
      </c>
      <c r="B5" s="55" t="s">
        <v>203</v>
      </c>
      <c r="C5" s="55" t="s">
        <v>199</v>
      </c>
      <c r="D5" s="56" t="s">
        <v>204</v>
      </c>
      <c r="E5" s="53">
        <v>24930.07</v>
      </c>
      <c r="F5" s="57">
        <v>0.03</v>
      </c>
      <c r="G5" s="53">
        <v>24203.9514563107</v>
      </c>
      <c r="H5" s="58">
        <v>0.069999999999709</v>
      </c>
      <c r="I5" s="53"/>
      <c r="J5" s="53"/>
    </row>
    <row r="6" s="32" customFormat="1" ht="81" customHeight="1" spans="1:10">
      <c r="A6" s="54">
        <v>6</v>
      </c>
      <c r="B6" s="59">
        <v>2022</v>
      </c>
      <c r="C6" s="55" t="s">
        <v>199</v>
      </c>
      <c r="D6" s="56" t="s">
        <v>205</v>
      </c>
      <c r="E6" s="53">
        <v>346500</v>
      </c>
      <c r="F6" s="57"/>
      <c r="G6" s="53">
        <v>326886.79245283</v>
      </c>
      <c r="H6" s="58">
        <v>242550</v>
      </c>
      <c r="I6" s="53"/>
      <c r="J6" s="53"/>
    </row>
    <row r="7" s="32" customFormat="1" ht="27" spans="1:10">
      <c r="A7" s="54">
        <v>7</v>
      </c>
      <c r="B7" s="59">
        <v>2022.6</v>
      </c>
      <c r="C7" s="55" t="s">
        <v>199</v>
      </c>
      <c r="D7" s="56" t="s">
        <v>206</v>
      </c>
      <c r="E7" s="53">
        <v>14000</v>
      </c>
      <c r="F7" s="57">
        <v>0.06</v>
      </c>
      <c r="G7" s="53">
        <v>13207.5471698113</v>
      </c>
      <c r="H7" s="58">
        <v>0</v>
      </c>
      <c r="I7" s="53"/>
      <c r="J7" s="53"/>
    </row>
    <row r="8" s="32" customFormat="1" ht="45" customHeight="1" spans="1:10">
      <c r="A8" s="54">
        <v>8</v>
      </c>
      <c r="B8" s="59">
        <v>2022.7</v>
      </c>
      <c r="C8" s="55" t="s">
        <v>199</v>
      </c>
      <c r="D8" s="56" t="s">
        <v>207</v>
      </c>
      <c r="E8" s="53">
        <v>30000</v>
      </c>
      <c r="F8" s="57">
        <v>0.06</v>
      </c>
      <c r="G8" s="53">
        <v>28301.8867924528</v>
      </c>
      <c r="H8" s="58">
        <v>0</v>
      </c>
      <c r="I8" s="53"/>
      <c r="J8" s="53"/>
    </row>
    <row r="9" s="33" customFormat="1" ht="67.5" spans="1:10">
      <c r="A9" s="60">
        <v>9</v>
      </c>
      <c r="B9" s="61" t="s">
        <v>208</v>
      </c>
      <c r="C9" s="61" t="s">
        <v>209</v>
      </c>
      <c r="D9" s="62" t="s">
        <v>210</v>
      </c>
      <c r="E9" s="63">
        <v>110000</v>
      </c>
      <c r="F9" s="64">
        <v>0.06</v>
      </c>
      <c r="G9" s="63">
        <v>103773.58490566</v>
      </c>
      <c r="H9" s="65">
        <v>11000</v>
      </c>
      <c r="I9" s="63">
        <v>93396.23</v>
      </c>
      <c r="J9" s="63">
        <f>G9-I9</f>
        <v>10377.35490566</v>
      </c>
    </row>
    <row r="10" s="33" customFormat="1" spans="1:10">
      <c r="A10" s="60">
        <v>10</v>
      </c>
      <c r="B10" s="66">
        <v>2023.1</v>
      </c>
      <c r="C10" s="61" t="s">
        <v>209</v>
      </c>
      <c r="D10" s="62" t="s">
        <v>211</v>
      </c>
      <c r="E10" s="63">
        <v>15000</v>
      </c>
      <c r="F10" s="64"/>
      <c r="G10" s="63">
        <v>14150.9433962264</v>
      </c>
      <c r="H10" s="65">
        <v>0</v>
      </c>
      <c r="I10" s="63"/>
      <c r="J10" s="63"/>
    </row>
    <row r="11" s="33" customFormat="1" ht="27" spans="1:10">
      <c r="A11" s="60">
        <v>11</v>
      </c>
      <c r="B11" s="66">
        <v>2023.2</v>
      </c>
      <c r="C11" s="61" t="s">
        <v>209</v>
      </c>
      <c r="D11" s="62" t="s">
        <v>212</v>
      </c>
      <c r="E11" s="63">
        <v>50000</v>
      </c>
      <c r="F11" s="64">
        <v>0.06</v>
      </c>
      <c r="G11" s="63">
        <v>47169.8113207547</v>
      </c>
      <c r="H11" s="65">
        <v>0</v>
      </c>
      <c r="I11" s="63"/>
      <c r="J11" s="63"/>
    </row>
    <row r="12" s="33" customFormat="1" ht="27" spans="1:10">
      <c r="A12" s="60">
        <v>12</v>
      </c>
      <c r="B12" s="61" t="s">
        <v>213</v>
      </c>
      <c r="C12" s="61" t="s">
        <v>214</v>
      </c>
      <c r="D12" s="62" t="s">
        <v>215</v>
      </c>
      <c r="E12" s="63"/>
      <c r="F12" s="64">
        <v>0.06</v>
      </c>
      <c r="G12" s="63"/>
      <c r="H12" s="65">
        <v>0</v>
      </c>
      <c r="I12" s="63"/>
      <c r="J12" s="63"/>
    </row>
    <row r="13" s="31" customFormat="1" spans="1:10">
      <c r="A13" s="67">
        <v>13</v>
      </c>
      <c r="B13" s="68"/>
      <c r="C13" s="69" t="s">
        <v>216</v>
      </c>
      <c r="D13" s="70" t="s">
        <v>217</v>
      </c>
      <c r="E13" s="71">
        <v>51316</v>
      </c>
      <c r="F13" s="72">
        <v>0.06</v>
      </c>
      <c r="G13" s="71">
        <v>48411.320754717</v>
      </c>
      <c r="H13" s="73">
        <v>0</v>
      </c>
      <c r="I13" s="71"/>
      <c r="J13" s="71"/>
    </row>
    <row r="14" s="31" customFormat="1" spans="1:10">
      <c r="A14" s="67">
        <v>14</v>
      </c>
      <c r="B14" s="68"/>
      <c r="C14" s="69" t="s">
        <v>216</v>
      </c>
      <c r="D14" s="70" t="s">
        <v>217</v>
      </c>
      <c r="E14" s="71">
        <v>21500</v>
      </c>
      <c r="F14" s="72">
        <v>0.06</v>
      </c>
      <c r="G14" s="71">
        <v>20283.0188679245</v>
      </c>
      <c r="H14" s="73">
        <v>0</v>
      </c>
      <c r="I14" s="71"/>
      <c r="J14" s="71"/>
    </row>
    <row r="15" s="33" customFormat="1" spans="1:10">
      <c r="A15" s="60">
        <v>15</v>
      </c>
      <c r="B15" s="61"/>
      <c r="C15" s="61" t="s">
        <v>214</v>
      </c>
      <c r="D15" s="62" t="s">
        <v>218</v>
      </c>
      <c r="E15" s="63">
        <v>1378</v>
      </c>
      <c r="F15" s="64">
        <v>0.06</v>
      </c>
      <c r="G15" s="63">
        <v>1300</v>
      </c>
      <c r="H15" s="65">
        <v>0</v>
      </c>
      <c r="I15" s="63"/>
      <c r="J15" s="63"/>
    </row>
    <row r="16" s="33" customFormat="1" spans="1:10">
      <c r="A16" s="60">
        <v>16</v>
      </c>
      <c r="B16" s="61"/>
      <c r="C16" s="61" t="s">
        <v>214</v>
      </c>
      <c r="D16" s="62" t="s">
        <v>219</v>
      </c>
      <c r="E16" s="63">
        <v>22109</v>
      </c>
      <c r="F16" s="64">
        <v>0.06</v>
      </c>
      <c r="G16" s="63">
        <v>20857.5471698113</v>
      </c>
      <c r="H16" s="65"/>
      <c r="I16" s="63"/>
      <c r="J16" s="63"/>
    </row>
    <row r="17" s="32" customFormat="1" spans="1:10">
      <c r="A17" s="54">
        <v>17</v>
      </c>
      <c r="B17" s="55"/>
      <c r="C17" s="55" t="s">
        <v>199</v>
      </c>
      <c r="D17" s="56" t="s">
        <v>220</v>
      </c>
      <c r="E17" s="53">
        <v>71556</v>
      </c>
      <c r="F17" s="57"/>
      <c r="G17" s="53">
        <v>67505.6603773585</v>
      </c>
      <c r="H17" s="58"/>
      <c r="I17" s="53"/>
      <c r="J17" s="53"/>
    </row>
    <row r="18" s="32" customFormat="1" spans="1:10">
      <c r="A18" s="54">
        <v>18</v>
      </c>
      <c r="B18" s="55"/>
      <c r="C18" s="55" t="s">
        <v>199</v>
      </c>
      <c r="D18" s="56" t="s">
        <v>220</v>
      </c>
      <c r="E18" s="53">
        <v>1800</v>
      </c>
      <c r="F18" s="57"/>
      <c r="G18" s="53">
        <v>1698.11320754717</v>
      </c>
      <c r="H18" s="58"/>
      <c r="I18" s="53"/>
      <c r="J18" s="53"/>
    </row>
    <row r="19" s="31" customFormat="1" spans="1:10">
      <c r="A19" s="67">
        <v>19</v>
      </c>
      <c r="B19" s="68"/>
      <c r="C19" s="68"/>
      <c r="D19" s="74"/>
      <c r="E19" s="71"/>
      <c r="F19" s="72"/>
      <c r="G19" s="71"/>
      <c r="H19" s="73">
        <v>0</v>
      </c>
      <c r="I19" s="71"/>
      <c r="J19" s="71"/>
    </row>
    <row r="20" s="33" customFormat="1" ht="27" spans="1:10">
      <c r="A20" s="60">
        <v>20</v>
      </c>
      <c r="B20" s="61"/>
      <c r="C20" s="61" t="s">
        <v>214</v>
      </c>
      <c r="D20" s="62" t="s">
        <v>221</v>
      </c>
      <c r="E20" s="63">
        <v>59747</v>
      </c>
      <c r="F20" s="64">
        <v>0.06</v>
      </c>
      <c r="G20" s="63">
        <v>56365.0943396226</v>
      </c>
      <c r="H20" s="65"/>
      <c r="I20" s="63"/>
      <c r="J20" s="63"/>
    </row>
    <row r="21" s="33" customFormat="1" spans="1:10">
      <c r="A21" s="60">
        <v>21</v>
      </c>
      <c r="B21" s="61"/>
      <c r="C21" s="61" t="s">
        <v>214</v>
      </c>
      <c r="D21" s="62" t="s">
        <v>222</v>
      </c>
      <c r="E21" s="63">
        <v>17269</v>
      </c>
      <c r="F21" s="64">
        <v>0.06</v>
      </c>
      <c r="G21" s="63">
        <v>16291.5094339623</v>
      </c>
      <c r="H21" s="65"/>
      <c r="I21" s="75"/>
      <c r="J21" s="75"/>
    </row>
    <row r="22" s="33" customFormat="1" spans="1:10">
      <c r="A22" s="60">
        <v>22</v>
      </c>
      <c r="B22" s="61"/>
      <c r="C22" s="61" t="s">
        <v>214</v>
      </c>
      <c r="D22" s="62" t="s">
        <v>223</v>
      </c>
      <c r="E22" s="63">
        <v>11119</v>
      </c>
      <c r="F22" s="64">
        <v>0.06</v>
      </c>
      <c r="G22" s="63">
        <v>10489.6226415094</v>
      </c>
      <c r="H22" s="65"/>
      <c r="I22" s="75"/>
      <c r="J22" s="75"/>
    </row>
    <row r="23" s="33" customFormat="1" spans="1:10">
      <c r="A23" s="60">
        <v>23</v>
      </c>
      <c r="B23" s="61" t="s">
        <v>224</v>
      </c>
      <c r="C23" s="61" t="s">
        <v>225</v>
      </c>
      <c r="D23" s="76" t="s">
        <v>226</v>
      </c>
      <c r="E23" s="63">
        <v>1320832.98</v>
      </c>
      <c r="F23" s="64">
        <v>0.06</v>
      </c>
      <c r="G23" s="63">
        <v>1246068.8490566</v>
      </c>
      <c r="H23" s="65">
        <v>492499.79</v>
      </c>
      <c r="I23" s="75"/>
      <c r="J23" s="75">
        <f>G23*0.1</f>
        <v>124606.88490566</v>
      </c>
    </row>
    <row r="24" s="33" customFormat="1" ht="27" spans="1:10">
      <c r="A24" s="60">
        <v>24</v>
      </c>
      <c r="B24" s="61" t="s">
        <v>227</v>
      </c>
      <c r="C24" s="61" t="s">
        <v>228</v>
      </c>
      <c r="D24" s="76" t="s">
        <v>229</v>
      </c>
      <c r="E24" s="63">
        <v>233550</v>
      </c>
      <c r="F24" s="64">
        <v>0.06</v>
      </c>
      <c r="G24" s="63">
        <v>220330.188679245</v>
      </c>
      <c r="H24" s="65">
        <v>93420</v>
      </c>
      <c r="I24" s="75" t="s">
        <v>230</v>
      </c>
      <c r="J24" s="75">
        <f>G24*0.1</f>
        <v>22033.0188679245</v>
      </c>
    </row>
    <row r="25" s="32" customFormat="1" ht="40.5" spans="1:10">
      <c r="A25" s="54">
        <v>25</v>
      </c>
      <c r="B25" s="55" t="s">
        <v>231</v>
      </c>
      <c r="C25" s="55" t="s">
        <v>199</v>
      </c>
      <c r="D25" s="77" t="s">
        <v>232</v>
      </c>
      <c r="E25" s="78">
        <v>1381232.86</v>
      </c>
      <c r="F25" s="79">
        <v>0.06</v>
      </c>
      <c r="G25" s="53">
        <v>1303049.86792453</v>
      </c>
      <c r="H25" s="58">
        <v>683630.02</v>
      </c>
      <c r="I25" s="80" t="s">
        <v>233</v>
      </c>
      <c r="J25" s="80">
        <f>81232.86/1.06*0.1</f>
        <v>7663.47735849057</v>
      </c>
    </row>
    <row r="26" s="32" customFormat="1" spans="1:10">
      <c r="A26" s="54">
        <v>27</v>
      </c>
      <c r="B26" s="55"/>
      <c r="C26" s="55" t="s">
        <v>199</v>
      </c>
      <c r="D26" s="77" t="s">
        <v>229</v>
      </c>
      <c r="E26" s="53">
        <v>19583</v>
      </c>
      <c r="F26" s="57">
        <v>0.01</v>
      </c>
      <c r="G26" s="53">
        <v>19389.1089108911</v>
      </c>
      <c r="H26" s="58">
        <v>0</v>
      </c>
      <c r="I26" s="80"/>
      <c r="J26" s="80"/>
    </row>
    <row r="27" s="33" customFormat="1" ht="27" spans="1:10">
      <c r="A27" s="60">
        <v>28</v>
      </c>
      <c r="B27" s="61" t="s">
        <v>234</v>
      </c>
      <c r="C27" s="61" t="s">
        <v>214</v>
      </c>
      <c r="D27" s="76" t="s">
        <v>235</v>
      </c>
      <c r="E27" s="63">
        <v>23585</v>
      </c>
      <c r="F27" s="64">
        <v>0.06</v>
      </c>
      <c r="G27" s="63">
        <v>22250</v>
      </c>
      <c r="H27" s="65">
        <v>0</v>
      </c>
      <c r="I27" s="75"/>
      <c r="J27" s="75"/>
    </row>
    <row r="28" s="32" customFormat="1" ht="27" spans="1:10">
      <c r="A28" s="54">
        <v>29</v>
      </c>
      <c r="B28" s="81" t="s">
        <v>236</v>
      </c>
      <c r="C28" s="55" t="s">
        <v>199</v>
      </c>
      <c r="D28" s="77" t="s">
        <v>237</v>
      </c>
      <c r="E28" s="53">
        <v>10000</v>
      </c>
      <c r="F28" s="57">
        <v>0.06</v>
      </c>
      <c r="G28" s="53">
        <v>9433.96226415094</v>
      </c>
      <c r="H28" s="58">
        <v>0</v>
      </c>
      <c r="I28" s="80"/>
      <c r="J28" s="80"/>
    </row>
    <row r="29" s="33" customFormat="1" ht="27" spans="1:10">
      <c r="A29" s="60">
        <v>30</v>
      </c>
      <c r="B29" s="61"/>
      <c r="C29" s="61" t="s">
        <v>214</v>
      </c>
      <c r="D29" s="76" t="s">
        <v>238</v>
      </c>
      <c r="E29" s="63">
        <v>20000</v>
      </c>
      <c r="F29" s="64">
        <v>0.06</v>
      </c>
      <c r="G29" s="63">
        <v>18867.9245283019</v>
      </c>
      <c r="H29" s="65">
        <v>0</v>
      </c>
      <c r="I29" s="75"/>
      <c r="J29" s="75"/>
    </row>
    <row r="30" s="33" customFormat="1" ht="40.5" spans="1:10">
      <c r="A30" s="60">
        <v>31</v>
      </c>
      <c r="B30" s="61"/>
      <c r="C30" s="61" t="s">
        <v>239</v>
      </c>
      <c r="D30" s="76" t="s">
        <v>240</v>
      </c>
      <c r="E30" s="63">
        <v>90000</v>
      </c>
      <c r="F30" s="64">
        <v>0.06</v>
      </c>
      <c r="G30" s="63">
        <v>84905.6603773585</v>
      </c>
      <c r="H30" s="65">
        <v>24000</v>
      </c>
      <c r="I30" s="75"/>
      <c r="J30" s="75">
        <f>G30</f>
        <v>84905.6603773585</v>
      </c>
    </row>
    <row r="31" s="32" customFormat="1" spans="1:10">
      <c r="A31" s="54">
        <v>32</v>
      </c>
      <c r="B31" s="55" t="s">
        <v>241</v>
      </c>
      <c r="C31" s="55" t="s">
        <v>199</v>
      </c>
      <c r="D31" s="56" t="s">
        <v>242</v>
      </c>
      <c r="E31" s="53">
        <v>4345</v>
      </c>
      <c r="F31" s="57">
        <v>0.06</v>
      </c>
      <c r="G31" s="53">
        <v>4099.05660377358</v>
      </c>
      <c r="H31" s="58">
        <v>0</v>
      </c>
      <c r="I31" s="80"/>
      <c r="J31" s="80"/>
    </row>
    <row r="32" s="32" customFormat="1" spans="1:10">
      <c r="A32" s="54">
        <v>33</v>
      </c>
      <c r="B32" s="82" t="s">
        <v>243</v>
      </c>
      <c r="C32" s="55" t="s">
        <v>199</v>
      </c>
      <c r="D32" s="77" t="s">
        <v>244</v>
      </c>
      <c r="E32" s="53">
        <v>3523</v>
      </c>
      <c r="F32" s="57">
        <v>0.06</v>
      </c>
      <c r="G32" s="53">
        <v>3323.58490566038</v>
      </c>
      <c r="H32" s="58">
        <v>0</v>
      </c>
      <c r="I32" s="80"/>
      <c r="J32" s="80"/>
    </row>
    <row r="33" s="33" customFormat="1" spans="1:10">
      <c r="A33" s="60">
        <v>34</v>
      </c>
      <c r="B33" s="83">
        <v>2023.7</v>
      </c>
      <c r="C33" s="61" t="s">
        <v>225</v>
      </c>
      <c r="D33" s="76" t="s">
        <v>245</v>
      </c>
      <c r="E33" s="63">
        <v>287000</v>
      </c>
      <c r="F33" s="64">
        <v>0.06</v>
      </c>
      <c r="G33" s="63">
        <v>270754.716981132</v>
      </c>
      <c r="H33" s="65">
        <v>38008.68</v>
      </c>
      <c r="I33" s="75" t="s">
        <v>246</v>
      </c>
      <c r="J33" s="75"/>
    </row>
    <row r="34" s="31" customFormat="1" spans="1:10">
      <c r="A34" s="67">
        <v>35</v>
      </c>
      <c r="B34" s="84"/>
      <c r="C34" s="69" t="s">
        <v>216</v>
      </c>
      <c r="D34" s="85" t="s">
        <v>247</v>
      </c>
      <c r="E34" s="71">
        <v>20000</v>
      </c>
      <c r="F34" s="72">
        <v>0.06</v>
      </c>
      <c r="G34" s="71">
        <v>18867.9245283019</v>
      </c>
      <c r="H34" s="73"/>
      <c r="I34" s="86"/>
      <c r="J34" s="86"/>
    </row>
    <row r="35" s="31" customFormat="1" spans="1:10">
      <c r="A35" s="67">
        <v>36</v>
      </c>
      <c r="B35" s="84"/>
      <c r="C35" s="87" t="s">
        <v>216</v>
      </c>
      <c r="D35" s="85" t="s">
        <v>248</v>
      </c>
      <c r="E35" s="71">
        <v>1378</v>
      </c>
      <c r="F35" s="72">
        <v>0.06</v>
      </c>
      <c r="G35" s="71">
        <v>1300</v>
      </c>
      <c r="H35" s="73"/>
      <c r="I35" s="86"/>
      <c r="J35" s="86"/>
    </row>
    <row r="36" s="31" customFormat="1" spans="1:10">
      <c r="A36" s="67">
        <v>38</v>
      </c>
      <c r="B36" s="68" t="s">
        <v>249</v>
      </c>
      <c r="C36" s="87" t="s">
        <v>216</v>
      </c>
      <c r="D36" s="74" t="s">
        <v>250</v>
      </c>
      <c r="E36" s="71">
        <f>1860726-22753.5</f>
        <v>1837972.5</v>
      </c>
      <c r="F36" s="72">
        <v>0.01</v>
      </c>
      <c r="G36" s="71">
        <v>1819774.75247525</v>
      </c>
      <c r="H36" s="73">
        <v>0</v>
      </c>
      <c r="I36" s="86"/>
      <c r="J36" s="86"/>
    </row>
    <row r="37" s="31" customFormat="1" spans="1:10">
      <c r="A37" s="67">
        <v>39</v>
      </c>
      <c r="B37" s="68" t="s">
        <v>251</v>
      </c>
      <c r="C37" s="87" t="s">
        <v>216</v>
      </c>
      <c r="D37" s="74" t="s">
        <v>252</v>
      </c>
      <c r="E37" s="71">
        <f>469000-22809.6</f>
        <v>446190.4</v>
      </c>
      <c r="F37" s="72">
        <v>0.09</v>
      </c>
      <c r="G37" s="71">
        <v>409348.990825688</v>
      </c>
      <c r="H37" s="73">
        <v>0</v>
      </c>
      <c r="I37" s="86"/>
      <c r="J37" s="86"/>
    </row>
    <row r="38" s="33" customFormat="1" ht="27" spans="1:10">
      <c r="A38" s="60">
        <v>40</v>
      </c>
      <c r="B38" s="61"/>
      <c r="C38" s="83" t="s">
        <v>214</v>
      </c>
      <c r="D38" s="62" t="s">
        <v>253</v>
      </c>
      <c r="E38" s="63">
        <v>13666.86</v>
      </c>
      <c r="F38" s="64">
        <v>0.06</v>
      </c>
      <c r="G38" s="63">
        <v>12893.2641509434</v>
      </c>
      <c r="H38" s="65"/>
      <c r="I38" s="75"/>
      <c r="J38" s="75"/>
    </row>
    <row r="39" s="32" customFormat="1" ht="40.5" spans="1:10">
      <c r="A39" s="54">
        <v>42</v>
      </c>
      <c r="B39" s="55" t="s">
        <v>254</v>
      </c>
      <c r="C39" s="82" t="s">
        <v>199</v>
      </c>
      <c r="D39" s="56" t="s">
        <v>255</v>
      </c>
      <c r="E39" s="53">
        <v>586320</v>
      </c>
      <c r="F39" s="57">
        <v>0.06</v>
      </c>
      <c r="G39" s="53">
        <v>553132.075471698</v>
      </c>
      <c r="H39" s="58">
        <v>74050.32</v>
      </c>
      <c r="I39" s="80"/>
      <c r="J39" s="80"/>
    </row>
    <row r="40" s="32" customFormat="1" ht="27" spans="1:10">
      <c r="A40" s="54">
        <v>43</v>
      </c>
      <c r="B40" s="55" t="s">
        <v>256</v>
      </c>
      <c r="C40" s="82" t="s">
        <v>199</v>
      </c>
      <c r="D40" s="56" t="s">
        <v>257</v>
      </c>
      <c r="E40" s="53"/>
      <c r="F40" s="57">
        <v>0.09</v>
      </c>
      <c r="G40" s="53"/>
      <c r="H40" s="58">
        <v>0</v>
      </c>
      <c r="I40" s="80"/>
      <c r="J40" s="80"/>
    </row>
    <row r="41" s="32" customFormat="1" ht="27" spans="1:10">
      <c r="A41" s="54">
        <v>44</v>
      </c>
      <c r="B41" s="55"/>
      <c r="C41" s="82" t="s">
        <v>258</v>
      </c>
      <c r="D41" s="56" t="s">
        <v>259</v>
      </c>
      <c r="E41" s="53">
        <v>45569</v>
      </c>
      <c r="F41" s="57">
        <v>0.03</v>
      </c>
      <c r="G41" s="53">
        <v>44241.7475728155</v>
      </c>
      <c r="H41" s="58">
        <v>9113.8</v>
      </c>
      <c r="I41" s="80"/>
      <c r="J41" s="80"/>
    </row>
    <row r="42" s="33" customFormat="1" spans="1:10">
      <c r="A42" s="60">
        <v>45</v>
      </c>
      <c r="B42" s="61"/>
      <c r="C42" s="83" t="s">
        <v>214</v>
      </c>
      <c r="D42" s="88" t="s">
        <v>214</v>
      </c>
      <c r="E42" s="63"/>
      <c r="F42" s="64">
        <v>0.09</v>
      </c>
      <c r="G42" s="63"/>
      <c r="H42" s="65">
        <v>0</v>
      </c>
      <c r="I42" s="75"/>
      <c r="J42" s="75"/>
    </row>
    <row r="43" s="32" customFormat="1" spans="1:10">
      <c r="A43" s="54">
        <v>46</v>
      </c>
      <c r="B43" s="55"/>
      <c r="C43" s="82" t="s">
        <v>260</v>
      </c>
      <c r="D43" s="56" t="s">
        <v>261</v>
      </c>
      <c r="E43" s="53">
        <v>399000</v>
      </c>
      <c r="F43" s="57">
        <v>0.09</v>
      </c>
      <c r="G43" s="53">
        <v>366055.04587156</v>
      </c>
      <c r="H43" s="58">
        <v>11970</v>
      </c>
      <c r="I43" s="80" t="s">
        <v>246</v>
      </c>
      <c r="J43" s="80"/>
    </row>
    <row r="44" s="32" customFormat="1" spans="1:10">
      <c r="A44" s="54">
        <v>47</v>
      </c>
      <c r="B44" s="55"/>
      <c r="C44" s="82" t="s">
        <v>199</v>
      </c>
      <c r="D44" s="56" t="s">
        <v>262</v>
      </c>
      <c r="E44" s="53">
        <v>90000</v>
      </c>
      <c r="F44" s="57">
        <v>0.03</v>
      </c>
      <c r="G44" s="53">
        <v>87378.640776699</v>
      </c>
      <c r="H44" s="58">
        <v>22500</v>
      </c>
      <c r="I44" s="80"/>
      <c r="J44" s="80"/>
    </row>
    <row r="45" s="32" customFormat="1" ht="27" spans="1:10">
      <c r="A45" s="54">
        <v>48</v>
      </c>
      <c r="B45" s="81" t="s">
        <v>263</v>
      </c>
      <c r="C45" s="82" t="s">
        <v>199</v>
      </c>
      <c r="D45" s="81" t="s">
        <v>264</v>
      </c>
      <c r="E45" s="89">
        <v>537334.11</v>
      </c>
      <c r="F45" s="90">
        <v>0.09</v>
      </c>
      <c r="G45" s="89">
        <v>492967.073394495</v>
      </c>
      <c r="H45" s="91">
        <v>0</v>
      </c>
      <c r="I45" s="92"/>
      <c r="J45" s="92"/>
    </row>
    <row r="46" s="32" customFormat="1" spans="1:10">
      <c r="A46" s="54">
        <v>49</v>
      </c>
      <c r="B46" s="55"/>
      <c r="C46" s="82" t="s">
        <v>258</v>
      </c>
      <c r="D46" s="56" t="s">
        <v>265</v>
      </c>
      <c r="E46" s="53">
        <v>13755.75</v>
      </c>
      <c r="F46" s="57">
        <v>0.09</v>
      </c>
      <c r="G46" s="53">
        <v>12619.9541284404</v>
      </c>
      <c r="H46" s="58">
        <v>0</v>
      </c>
      <c r="I46" s="80"/>
      <c r="J46" s="80"/>
    </row>
    <row r="47" s="32" customFormat="1" ht="27" spans="1:10">
      <c r="A47" s="54">
        <v>50</v>
      </c>
      <c r="B47" s="55" t="s">
        <v>266</v>
      </c>
      <c r="C47" s="82" t="s">
        <v>199</v>
      </c>
      <c r="D47" s="81" t="s">
        <v>267</v>
      </c>
      <c r="E47" s="89">
        <v>1218568</v>
      </c>
      <c r="F47" s="90">
        <v>0.09</v>
      </c>
      <c r="G47" s="89">
        <v>1117952.29357798</v>
      </c>
      <c r="H47" s="91">
        <v>0</v>
      </c>
      <c r="I47" s="92"/>
      <c r="J47" s="92"/>
    </row>
    <row r="48" s="31" customFormat="1" spans="1:10">
      <c r="A48" s="67">
        <v>51</v>
      </c>
      <c r="B48" s="84" t="s">
        <v>268</v>
      </c>
      <c r="C48" s="87" t="s">
        <v>216</v>
      </c>
      <c r="D48" s="93" t="s">
        <v>269</v>
      </c>
      <c r="E48" s="94">
        <v>150000</v>
      </c>
      <c r="F48" s="95">
        <v>0.01</v>
      </c>
      <c r="G48" s="94">
        <v>148514.851485149</v>
      </c>
      <c r="H48" s="96">
        <v>0</v>
      </c>
      <c r="I48" s="36"/>
      <c r="J48" s="36"/>
    </row>
    <row r="49" s="33" customFormat="1" spans="1:10">
      <c r="A49" s="60">
        <v>52</v>
      </c>
      <c r="B49" s="83" t="s">
        <v>270</v>
      </c>
      <c r="C49" s="83" t="s">
        <v>271</v>
      </c>
      <c r="D49" s="88" t="s">
        <v>272</v>
      </c>
      <c r="E49" s="97"/>
      <c r="F49" s="98">
        <v>0.09</v>
      </c>
      <c r="G49" s="97"/>
      <c r="H49" s="99">
        <v>0</v>
      </c>
      <c r="I49" s="100"/>
      <c r="J49" s="100"/>
    </row>
    <row r="50" s="33" customFormat="1" ht="27" spans="1:10">
      <c r="A50" s="60">
        <v>53</v>
      </c>
      <c r="B50" s="83" t="s">
        <v>273</v>
      </c>
      <c r="C50" s="83" t="s">
        <v>214</v>
      </c>
      <c r="D50" s="88" t="s">
        <v>274</v>
      </c>
      <c r="E50" s="97"/>
      <c r="F50" s="98">
        <v>0.09</v>
      </c>
      <c r="G50" s="97"/>
      <c r="H50" s="99">
        <v>0</v>
      </c>
      <c r="I50" s="100"/>
      <c r="J50" s="100"/>
    </row>
    <row r="51" s="32" customFormat="1" ht="27" spans="1:10">
      <c r="A51" s="54">
        <v>54</v>
      </c>
      <c r="B51" s="82" t="s">
        <v>275</v>
      </c>
      <c r="C51" s="82" t="s">
        <v>258</v>
      </c>
      <c r="D51" s="101" t="s">
        <v>276</v>
      </c>
      <c r="E51" s="102">
        <v>35000</v>
      </c>
      <c r="F51" s="103">
        <v>0.03</v>
      </c>
      <c r="G51" s="102">
        <v>33980.5825242718</v>
      </c>
      <c r="H51" s="104">
        <v>24500</v>
      </c>
      <c r="I51" s="105"/>
      <c r="J51" s="105"/>
    </row>
    <row r="52" s="33" customFormat="1" ht="27" spans="1:10">
      <c r="A52" s="60">
        <v>55</v>
      </c>
      <c r="B52" s="83" t="s">
        <v>270</v>
      </c>
      <c r="C52" s="83" t="s">
        <v>271</v>
      </c>
      <c r="D52" s="88" t="s">
        <v>277</v>
      </c>
      <c r="E52" s="97">
        <v>92032.7</v>
      </c>
      <c r="F52" s="98">
        <v>0.06</v>
      </c>
      <c r="G52" s="97">
        <v>86823.3018867924</v>
      </c>
      <c r="H52" s="99">
        <v>28204.02</v>
      </c>
      <c r="I52" s="100" t="s">
        <v>278</v>
      </c>
      <c r="J52" s="100">
        <f>G52*0.1</f>
        <v>8682.33018867925</v>
      </c>
    </row>
    <row r="53" s="33" customFormat="1" ht="27" spans="1:10">
      <c r="A53" s="60">
        <v>56</v>
      </c>
      <c r="B53" s="83" t="s">
        <v>279</v>
      </c>
      <c r="C53" s="83" t="s">
        <v>214</v>
      </c>
      <c r="D53" s="88" t="s">
        <v>280</v>
      </c>
      <c r="E53" s="97">
        <v>582052.3</v>
      </c>
      <c r="F53" s="98">
        <v>0.06</v>
      </c>
      <c r="G53" s="97">
        <v>549105.943396226</v>
      </c>
      <c r="H53" s="99">
        <v>72150.82</v>
      </c>
      <c r="I53" s="100" t="s">
        <v>281</v>
      </c>
      <c r="J53" s="100">
        <f>G53*0.1</f>
        <v>54910.5943396226</v>
      </c>
    </row>
    <row r="54" s="33" customFormat="1" ht="27" spans="1:10">
      <c r="A54" s="60">
        <v>57</v>
      </c>
      <c r="B54" s="83" t="s">
        <v>282</v>
      </c>
      <c r="C54" s="83" t="s">
        <v>225</v>
      </c>
      <c r="D54" s="88" t="s">
        <v>283</v>
      </c>
      <c r="E54" s="97">
        <v>20000</v>
      </c>
      <c r="F54" s="98">
        <v>0.01</v>
      </c>
      <c r="G54" s="97">
        <v>19801.98</v>
      </c>
      <c r="H54" s="99">
        <v>600</v>
      </c>
      <c r="I54" s="75" t="s">
        <v>246</v>
      </c>
      <c r="J54" s="100"/>
    </row>
    <row r="55" s="31" customFormat="1" spans="1:10">
      <c r="A55" s="67">
        <v>58</v>
      </c>
      <c r="B55" s="84" t="s">
        <v>284</v>
      </c>
      <c r="C55" s="87" t="s">
        <v>216</v>
      </c>
      <c r="D55" s="93" t="s">
        <v>285</v>
      </c>
      <c r="E55" s="94">
        <v>50000</v>
      </c>
      <c r="F55" s="95"/>
      <c r="G55" s="94">
        <v>50000</v>
      </c>
      <c r="H55" s="96">
        <v>0</v>
      </c>
      <c r="I55" s="36"/>
      <c r="J55" s="36"/>
    </row>
    <row r="56" s="33" customFormat="1" ht="27" spans="1:10">
      <c r="A56" s="60">
        <v>59</v>
      </c>
      <c r="B56" s="83" t="s">
        <v>286</v>
      </c>
      <c r="C56" s="83" t="s">
        <v>287</v>
      </c>
      <c r="D56" s="88" t="s">
        <v>288</v>
      </c>
      <c r="E56" s="97">
        <v>9468.19</v>
      </c>
      <c r="F56" s="98">
        <v>0.01</v>
      </c>
      <c r="G56" s="97">
        <v>9374.45</v>
      </c>
      <c r="H56" s="99">
        <v>0</v>
      </c>
      <c r="I56" s="100"/>
      <c r="J56" s="100"/>
    </row>
    <row r="57" s="31" customFormat="1" spans="1:10">
      <c r="A57" s="67">
        <v>60</v>
      </c>
      <c r="B57" s="84" t="s">
        <v>289</v>
      </c>
      <c r="C57" s="84" t="s">
        <v>216</v>
      </c>
      <c r="D57" s="93" t="s">
        <v>290</v>
      </c>
      <c r="E57" s="94">
        <v>230048.77</v>
      </c>
      <c r="F57" s="95">
        <v>0.03</v>
      </c>
      <c r="G57" s="94">
        <v>223348.32038835</v>
      </c>
      <c r="H57" s="96">
        <v>0</v>
      </c>
      <c r="I57" s="36"/>
      <c r="J57" s="36"/>
    </row>
    <row r="58" s="32" customFormat="1" ht="27" spans="1:10">
      <c r="A58" s="54">
        <v>61</v>
      </c>
      <c r="B58" s="82" t="s">
        <v>291</v>
      </c>
      <c r="C58" s="82" t="s">
        <v>199</v>
      </c>
      <c r="D58" s="101" t="s">
        <v>292</v>
      </c>
      <c r="E58" s="102">
        <f>350000+230000</f>
        <v>580000</v>
      </c>
      <c r="F58" s="103">
        <v>0.01</v>
      </c>
      <c r="G58" s="102">
        <v>574257.42</v>
      </c>
      <c r="H58" s="104">
        <v>144500</v>
      </c>
      <c r="I58" s="105"/>
      <c r="J58" s="105"/>
    </row>
    <row r="59" s="32" customFormat="1" spans="1:10">
      <c r="A59" s="54">
        <v>62</v>
      </c>
      <c r="B59" s="82" t="s">
        <v>293</v>
      </c>
      <c r="C59" s="82" t="s">
        <v>258</v>
      </c>
      <c r="D59" s="101" t="s">
        <v>294</v>
      </c>
      <c r="E59" s="102">
        <v>2200</v>
      </c>
      <c r="F59" s="103">
        <v>0.01</v>
      </c>
      <c r="G59" s="102">
        <v>2178.21782178218</v>
      </c>
      <c r="H59" s="104">
        <v>642</v>
      </c>
      <c r="I59" s="105"/>
      <c r="J59" s="105"/>
    </row>
    <row r="60" s="31" customFormat="1" spans="1:10">
      <c r="A60" s="67">
        <v>63</v>
      </c>
      <c r="B60" s="84"/>
      <c r="C60" s="87" t="s">
        <v>216</v>
      </c>
      <c r="D60" s="93" t="s">
        <v>295</v>
      </c>
      <c r="E60" s="94">
        <v>27000</v>
      </c>
      <c r="F60" s="95">
        <v>0.06</v>
      </c>
      <c r="G60" s="94">
        <v>25471.6981132075</v>
      </c>
      <c r="H60" s="96">
        <v>0</v>
      </c>
      <c r="I60" s="36"/>
      <c r="J60" s="36"/>
    </row>
    <row r="61" s="33" customFormat="1" ht="27" spans="1:10">
      <c r="A61" s="60">
        <v>64</v>
      </c>
      <c r="B61" s="83"/>
      <c r="C61" s="83" t="s">
        <v>214</v>
      </c>
      <c r="D61" s="88" t="s">
        <v>296</v>
      </c>
      <c r="E61" s="97">
        <v>15415.48</v>
      </c>
      <c r="F61" s="98">
        <v>0.01</v>
      </c>
      <c r="G61" s="97">
        <v>15262.8514851485</v>
      </c>
      <c r="H61" s="99">
        <v>0</v>
      </c>
      <c r="I61" s="100"/>
      <c r="J61" s="100"/>
    </row>
    <row r="62" s="33" customFormat="1" ht="27" spans="1:10">
      <c r="A62" s="60">
        <v>65</v>
      </c>
      <c r="B62" s="83" t="s">
        <v>297</v>
      </c>
      <c r="C62" s="83" t="s">
        <v>225</v>
      </c>
      <c r="D62" s="88" t="s">
        <v>298</v>
      </c>
      <c r="E62" s="97">
        <v>70000</v>
      </c>
      <c r="F62" s="98">
        <v>0.01</v>
      </c>
      <c r="G62" s="97">
        <v>69306.9306930693</v>
      </c>
      <c r="H62" s="99">
        <v>28000</v>
      </c>
      <c r="I62" s="100" t="s">
        <v>299</v>
      </c>
      <c r="J62" s="100">
        <f>G62-41584.16</f>
        <v>27722.7706930693</v>
      </c>
    </row>
    <row r="63" s="33" customFormat="1" ht="27" spans="1:10">
      <c r="A63" s="60">
        <v>66</v>
      </c>
      <c r="B63" s="83" t="s">
        <v>300</v>
      </c>
      <c r="C63" s="83" t="s">
        <v>225</v>
      </c>
      <c r="D63" s="88" t="s">
        <v>301</v>
      </c>
      <c r="E63" s="97">
        <v>120000</v>
      </c>
      <c r="F63" s="98">
        <v>0.01</v>
      </c>
      <c r="G63" s="97">
        <v>118811.881188119</v>
      </c>
      <c r="H63" s="99">
        <v>24000</v>
      </c>
      <c r="I63" s="100" t="s">
        <v>302</v>
      </c>
      <c r="J63" s="100">
        <f>G63-95049.5</f>
        <v>23762.3811881188</v>
      </c>
    </row>
    <row r="64" s="31" customFormat="1" ht="27" spans="1:10">
      <c r="A64" s="67">
        <v>67</v>
      </c>
      <c r="B64" s="84" t="s">
        <v>303</v>
      </c>
      <c r="C64" s="84" t="s">
        <v>304</v>
      </c>
      <c r="D64" s="93" t="s">
        <v>305</v>
      </c>
      <c r="E64" s="94">
        <v>7000</v>
      </c>
      <c r="F64" s="95">
        <v>0.06</v>
      </c>
      <c r="G64" s="94">
        <v>6930.69306930693</v>
      </c>
      <c r="H64" s="96">
        <v>0</v>
      </c>
      <c r="I64" s="36"/>
      <c r="J64" s="36"/>
    </row>
    <row r="65" s="32" customFormat="1" ht="27" spans="1:10">
      <c r="A65" s="54">
        <v>68</v>
      </c>
      <c r="B65" s="82" t="s">
        <v>306</v>
      </c>
      <c r="C65" s="82" t="s">
        <v>199</v>
      </c>
      <c r="D65" s="101" t="s">
        <v>307</v>
      </c>
      <c r="E65" s="102">
        <v>515773.02</v>
      </c>
      <c r="F65" s="103">
        <v>0.09</v>
      </c>
      <c r="G65" s="102">
        <v>473186.256880734</v>
      </c>
      <c r="H65" s="104">
        <v>0</v>
      </c>
      <c r="I65" s="105"/>
      <c r="J65" s="105"/>
    </row>
    <row r="66" s="33" customFormat="1" spans="1:10">
      <c r="A66" s="60">
        <v>69</v>
      </c>
      <c r="B66" s="83"/>
      <c r="C66" s="83" t="s">
        <v>209</v>
      </c>
      <c r="D66" s="88" t="s">
        <v>308</v>
      </c>
      <c r="E66" s="97">
        <v>1628250.52</v>
      </c>
      <c r="F66" s="98">
        <v>0.09</v>
      </c>
      <c r="G66" s="97">
        <v>1493807.81651376</v>
      </c>
      <c r="H66" s="99">
        <v>0</v>
      </c>
      <c r="I66" s="100"/>
      <c r="J66" s="100"/>
    </row>
    <row r="67" s="33" customFormat="1" ht="40.5" spans="1:10">
      <c r="A67" s="60">
        <v>70</v>
      </c>
      <c r="B67" s="83"/>
      <c r="C67" s="83" t="s">
        <v>214</v>
      </c>
      <c r="D67" s="88" t="s">
        <v>309</v>
      </c>
      <c r="E67" s="106">
        <v>120000</v>
      </c>
      <c r="F67" s="107">
        <v>0.06</v>
      </c>
      <c r="G67" s="106">
        <v>113207.547169811</v>
      </c>
      <c r="H67" s="108">
        <v>60000</v>
      </c>
      <c r="I67" s="109"/>
      <c r="J67" s="109">
        <f>G67*0.1</f>
        <v>11320.7547169811</v>
      </c>
    </row>
    <row r="68" s="31" customFormat="1" ht="27" spans="1:10">
      <c r="A68" s="67">
        <v>71</v>
      </c>
      <c r="B68" s="84"/>
      <c r="C68" s="84" t="s">
        <v>310</v>
      </c>
      <c r="D68" s="93" t="s">
        <v>311</v>
      </c>
      <c r="E68" s="94"/>
      <c r="F68" s="95">
        <v>0.09</v>
      </c>
      <c r="G68" s="94"/>
      <c r="H68" s="96">
        <v>0</v>
      </c>
      <c r="I68" s="36"/>
      <c r="J68" s="36"/>
    </row>
    <row r="69" s="33" customFormat="1" ht="40.5" spans="1:10">
      <c r="A69" s="60">
        <v>72</v>
      </c>
      <c r="B69" s="83"/>
      <c r="C69" s="83" t="s">
        <v>209</v>
      </c>
      <c r="D69" s="110" t="s">
        <v>312</v>
      </c>
      <c r="E69" s="97">
        <v>286091.5</v>
      </c>
      <c r="F69" s="98">
        <v>0.06</v>
      </c>
      <c r="G69" s="97">
        <v>269897.641509434</v>
      </c>
      <c r="H69" s="99">
        <v>111195.14</v>
      </c>
      <c r="I69" s="100" t="s">
        <v>313</v>
      </c>
      <c r="J69" s="100">
        <f>G69*0.1</f>
        <v>26989.7641509434</v>
      </c>
    </row>
    <row r="70" s="31" customFormat="1" spans="1:10">
      <c r="A70" s="67">
        <v>74</v>
      </c>
      <c r="B70" s="84"/>
      <c r="C70" s="87" t="s">
        <v>216</v>
      </c>
      <c r="D70" s="111" t="s">
        <v>314</v>
      </c>
      <c r="E70" s="94">
        <v>80000</v>
      </c>
      <c r="F70" s="95">
        <v>0.09</v>
      </c>
      <c r="G70" s="94">
        <v>73394.495412844</v>
      </c>
      <c r="H70" s="96">
        <v>0</v>
      </c>
      <c r="I70" s="36"/>
      <c r="J70" s="36"/>
    </row>
    <row r="71" s="31" customFormat="1" spans="1:10">
      <c r="A71" s="67">
        <v>75</v>
      </c>
      <c r="B71" s="84"/>
      <c r="C71" s="84" t="s">
        <v>304</v>
      </c>
      <c r="D71" s="111" t="s">
        <v>315</v>
      </c>
      <c r="E71" s="94"/>
      <c r="F71" s="95">
        <v>0.09</v>
      </c>
      <c r="G71" s="94"/>
      <c r="H71" s="96">
        <v>0</v>
      </c>
      <c r="I71" s="36"/>
      <c r="J71" s="36"/>
    </row>
    <row r="72" s="32" customFormat="1" spans="1:10">
      <c r="A72" s="54">
        <v>76</v>
      </c>
      <c r="B72" s="82"/>
      <c r="C72" s="82" t="s">
        <v>258</v>
      </c>
      <c r="D72" s="101" t="s">
        <v>316</v>
      </c>
      <c r="E72" s="102">
        <v>18936.27</v>
      </c>
      <c r="F72" s="103">
        <v>0.09</v>
      </c>
      <c r="G72" s="102">
        <v>17372.7247706422</v>
      </c>
      <c r="H72" s="104">
        <v>0</v>
      </c>
      <c r="I72" s="105"/>
      <c r="J72" s="105"/>
    </row>
    <row r="73" s="31" customFormat="1" ht="27" spans="1:10">
      <c r="A73" s="67">
        <v>77</v>
      </c>
      <c r="B73" s="84"/>
      <c r="C73" s="87" t="s">
        <v>216</v>
      </c>
      <c r="D73" s="93" t="s">
        <v>317</v>
      </c>
      <c r="E73" s="94">
        <v>115500</v>
      </c>
      <c r="F73" s="95"/>
      <c r="G73" s="94">
        <v>115500</v>
      </c>
      <c r="H73" s="96">
        <v>0</v>
      </c>
      <c r="I73" s="36"/>
      <c r="J73" s="36"/>
    </row>
    <row r="74" s="32" customFormat="1" ht="27" spans="1:10">
      <c r="A74" s="54">
        <v>78</v>
      </c>
      <c r="B74" s="82"/>
      <c r="C74" s="82" t="s">
        <v>258</v>
      </c>
      <c r="D74" s="101" t="s">
        <v>318</v>
      </c>
      <c r="E74" s="102">
        <v>8050</v>
      </c>
      <c r="F74" s="103"/>
      <c r="G74" s="102">
        <v>8050</v>
      </c>
      <c r="H74" s="104">
        <v>0</v>
      </c>
      <c r="I74" s="105"/>
      <c r="J74" s="105"/>
    </row>
    <row r="75" s="31" customFormat="1" ht="27" spans="1:10">
      <c r="A75" s="67">
        <v>79</v>
      </c>
      <c r="B75" s="84"/>
      <c r="C75" s="87" t="s">
        <v>216</v>
      </c>
      <c r="D75" s="93" t="s">
        <v>319</v>
      </c>
      <c r="E75" s="94">
        <v>8800</v>
      </c>
      <c r="F75" s="95">
        <v>0.06</v>
      </c>
      <c r="G75" s="94">
        <v>8301.88679245283</v>
      </c>
      <c r="H75" s="96"/>
      <c r="I75" s="36"/>
      <c r="J75" s="36"/>
    </row>
    <row r="76" s="31" customFormat="1" ht="40.5" spans="1:10">
      <c r="A76" s="67">
        <v>80</v>
      </c>
      <c r="B76" s="84"/>
      <c r="C76" s="87" t="s">
        <v>216</v>
      </c>
      <c r="D76" s="93" t="s">
        <v>320</v>
      </c>
      <c r="E76" s="94">
        <v>2756</v>
      </c>
      <c r="F76" s="95">
        <v>0.06</v>
      </c>
      <c r="G76" s="94">
        <v>2600</v>
      </c>
      <c r="H76" s="96">
        <v>0</v>
      </c>
      <c r="I76" s="36"/>
      <c r="J76" s="36"/>
    </row>
    <row r="77" s="33" customFormat="1" ht="27" spans="1:10">
      <c r="A77" s="60">
        <v>81</v>
      </c>
      <c r="B77" s="83"/>
      <c r="C77" s="83" t="s">
        <v>214</v>
      </c>
      <c r="D77" s="88" t="s">
        <v>321</v>
      </c>
      <c r="E77" s="97">
        <v>23404</v>
      </c>
      <c r="F77" s="98">
        <v>0.06</v>
      </c>
      <c r="G77" s="97">
        <v>22079.2452830189</v>
      </c>
      <c r="H77" s="99">
        <v>0</v>
      </c>
      <c r="I77" s="100"/>
      <c r="J77" s="100"/>
    </row>
    <row r="78" s="33" customFormat="1" spans="1:10">
      <c r="A78" s="60">
        <v>82</v>
      </c>
      <c r="B78" s="83"/>
      <c r="C78" s="83" t="s">
        <v>209</v>
      </c>
      <c r="D78" s="88" t="s">
        <v>322</v>
      </c>
      <c r="E78" s="97">
        <v>8761.12</v>
      </c>
      <c r="F78" s="98">
        <v>0.01</v>
      </c>
      <c r="G78" s="97">
        <v>8674.37623762376</v>
      </c>
      <c r="H78" s="99"/>
      <c r="I78" s="100"/>
      <c r="J78" s="100"/>
    </row>
    <row r="79" s="32" customFormat="1" ht="27" spans="1:10">
      <c r="A79" s="54">
        <v>83</v>
      </c>
      <c r="B79" s="82"/>
      <c r="C79" s="82" t="s">
        <v>199</v>
      </c>
      <c r="D79" s="101" t="s">
        <v>323</v>
      </c>
      <c r="E79" s="102">
        <v>20967</v>
      </c>
      <c r="F79" s="103">
        <v>0.01</v>
      </c>
      <c r="G79" s="102">
        <v>20759.4059405941</v>
      </c>
      <c r="H79" s="104">
        <v>0</v>
      </c>
      <c r="I79" s="105"/>
      <c r="J79" s="105"/>
    </row>
    <row r="80" s="31" customFormat="1" ht="27" spans="1:10">
      <c r="A80" s="67">
        <v>84</v>
      </c>
      <c r="B80" s="84"/>
      <c r="C80" s="84" t="s">
        <v>216</v>
      </c>
      <c r="D80" s="93" t="s">
        <v>324</v>
      </c>
      <c r="E80" s="94">
        <v>293.79</v>
      </c>
      <c r="F80" s="95"/>
      <c r="G80" s="94">
        <v>293.79</v>
      </c>
      <c r="H80" s="96"/>
      <c r="I80" s="36"/>
      <c r="J80" s="36"/>
    </row>
    <row r="81" s="31" customFormat="1" ht="27" spans="1:10">
      <c r="A81" s="67">
        <v>85</v>
      </c>
      <c r="B81" s="84"/>
      <c r="C81" s="87" t="s">
        <v>325</v>
      </c>
      <c r="D81" s="93" t="s">
        <v>326</v>
      </c>
      <c r="E81" s="94">
        <v>2262</v>
      </c>
      <c r="F81" s="95">
        <v>0.06</v>
      </c>
      <c r="G81" s="94">
        <v>2133.96226415094</v>
      </c>
      <c r="H81" s="96"/>
      <c r="I81" s="36"/>
      <c r="J81" s="36"/>
    </row>
    <row r="82" s="32" customFormat="1" ht="27" spans="1:10">
      <c r="A82" s="54">
        <v>86</v>
      </c>
      <c r="B82" s="82"/>
      <c r="C82" s="82" t="s">
        <v>199</v>
      </c>
      <c r="D82" s="101" t="s">
        <v>327</v>
      </c>
      <c r="E82" s="102">
        <v>29182.43</v>
      </c>
      <c r="F82" s="103">
        <v>0.09</v>
      </c>
      <c r="G82" s="102">
        <v>26772.871559633</v>
      </c>
      <c r="H82" s="104"/>
      <c r="I82" s="105"/>
      <c r="J82" s="105"/>
    </row>
    <row r="83" s="31" customFormat="1" spans="1:10">
      <c r="A83" s="67">
        <v>87</v>
      </c>
      <c r="B83" s="84"/>
      <c r="C83" s="84"/>
      <c r="D83" s="93"/>
      <c r="E83" s="94"/>
      <c r="F83" s="95"/>
      <c r="G83" s="94"/>
      <c r="H83" s="96"/>
      <c r="I83" s="36"/>
      <c r="J83" s="36"/>
    </row>
    <row r="84" s="32" customFormat="1" spans="1:10">
      <c r="A84" s="54">
        <v>88</v>
      </c>
      <c r="B84" s="82"/>
      <c r="C84" s="82" t="s">
        <v>258</v>
      </c>
      <c r="D84" s="101" t="s">
        <v>328</v>
      </c>
      <c r="E84" s="102">
        <v>135000</v>
      </c>
      <c r="F84" s="103"/>
      <c r="G84" s="102">
        <v>135000</v>
      </c>
      <c r="H84" s="104">
        <v>13500</v>
      </c>
      <c r="I84" s="105" t="s">
        <v>329</v>
      </c>
      <c r="J84" s="105"/>
    </row>
    <row r="85" s="32" customFormat="1" ht="27" spans="1:10">
      <c r="A85" s="54">
        <v>89</v>
      </c>
      <c r="B85" s="82"/>
      <c r="C85" s="82" t="s">
        <v>199</v>
      </c>
      <c r="D85" s="101" t="s">
        <v>330</v>
      </c>
      <c r="E85" s="102">
        <v>39000</v>
      </c>
      <c r="F85" s="103">
        <v>0.06</v>
      </c>
      <c r="G85" s="102">
        <v>36792.4528301887</v>
      </c>
      <c r="H85" s="104">
        <v>0</v>
      </c>
      <c r="I85" s="105"/>
      <c r="J85" s="105"/>
    </row>
    <row r="86" s="33" customFormat="1" spans="1:10">
      <c r="A86" s="60">
        <v>90</v>
      </c>
      <c r="B86" s="83" t="s">
        <v>331</v>
      </c>
      <c r="C86" s="83" t="s">
        <v>214</v>
      </c>
      <c r="D86" s="88" t="s">
        <v>332</v>
      </c>
      <c r="E86" s="97">
        <v>50000</v>
      </c>
      <c r="F86" s="98">
        <v>0.03</v>
      </c>
      <c r="G86" s="97">
        <v>48543.6893203883</v>
      </c>
      <c r="H86" s="99">
        <v>10000</v>
      </c>
      <c r="I86" s="100" t="s">
        <v>333</v>
      </c>
      <c r="J86" s="100">
        <f>G86-38834.95</f>
        <v>9708.73932038835</v>
      </c>
    </row>
    <row r="87" s="32" customFormat="1" ht="40.5" spans="1:10">
      <c r="A87" s="54">
        <v>91</v>
      </c>
      <c r="B87" s="82"/>
      <c r="C87" s="82" t="s">
        <v>199</v>
      </c>
      <c r="D87" s="101" t="s">
        <v>334</v>
      </c>
      <c r="E87" s="102">
        <v>131870.79</v>
      </c>
      <c r="F87" s="103">
        <v>0.09</v>
      </c>
      <c r="G87" s="102">
        <v>120982.376146789</v>
      </c>
      <c r="H87" s="104">
        <v>0</v>
      </c>
      <c r="I87" s="105"/>
      <c r="J87" s="105"/>
    </row>
    <row r="88" s="31" customFormat="1" ht="27" spans="1:10">
      <c r="A88" s="67">
        <v>92</v>
      </c>
      <c r="B88" s="84" t="s">
        <v>335</v>
      </c>
      <c r="C88" s="87" t="s">
        <v>336</v>
      </c>
      <c r="D88" s="93" t="s">
        <v>337</v>
      </c>
      <c r="E88" s="94">
        <v>5600</v>
      </c>
      <c r="F88" s="95">
        <v>0.13</v>
      </c>
      <c r="G88" s="94">
        <v>4955.75221238938</v>
      </c>
      <c r="H88" s="96">
        <v>0</v>
      </c>
      <c r="I88" s="36"/>
      <c r="J88" s="36"/>
    </row>
    <row r="89" s="32" customFormat="1" ht="27" spans="1:10">
      <c r="A89" s="54"/>
      <c r="B89" s="82"/>
      <c r="C89" s="82" t="s">
        <v>199</v>
      </c>
      <c r="D89" s="101" t="s">
        <v>338</v>
      </c>
      <c r="E89" s="102">
        <v>9728</v>
      </c>
      <c r="F89" s="103">
        <v>0.03</v>
      </c>
      <c r="G89" s="102">
        <v>9444.66019417476</v>
      </c>
      <c r="H89" s="104">
        <v>292</v>
      </c>
      <c r="I89" s="105" t="s">
        <v>339</v>
      </c>
      <c r="J89" s="105"/>
    </row>
    <row r="90" s="32" customFormat="1" ht="27" spans="1:10">
      <c r="A90" s="54"/>
      <c r="B90" s="82"/>
      <c r="C90" s="82" t="s">
        <v>199</v>
      </c>
      <c r="D90" s="101" t="s">
        <v>340</v>
      </c>
      <c r="E90" s="102">
        <v>26739</v>
      </c>
      <c r="F90" s="103">
        <v>0.06</v>
      </c>
      <c r="G90" s="102">
        <v>25225.4716981132</v>
      </c>
      <c r="H90" s="104">
        <v>0</v>
      </c>
      <c r="I90" s="105"/>
      <c r="J90" s="105"/>
    </row>
    <row r="91" s="31" customFormat="1" spans="1:10">
      <c r="A91" s="67"/>
      <c r="B91" s="84"/>
      <c r="C91" s="84"/>
      <c r="D91" s="93"/>
      <c r="E91" s="94"/>
      <c r="F91" s="95"/>
      <c r="G91" s="94"/>
      <c r="H91" s="96">
        <v>0</v>
      </c>
      <c r="I91" s="36"/>
      <c r="J91" s="36"/>
    </row>
    <row r="92" s="32" customFormat="1" ht="27" spans="1:10">
      <c r="A92" s="54"/>
      <c r="B92" s="82"/>
      <c r="C92" s="82" t="s">
        <v>199</v>
      </c>
      <c r="D92" s="101" t="s">
        <v>341</v>
      </c>
      <c r="E92" s="102">
        <v>75000</v>
      </c>
      <c r="F92" s="103">
        <v>0.03</v>
      </c>
      <c r="G92" s="102">
        <v>72815.5339805825</v>
      </c>
      <c r="H92" s="104">
        <v>3750</v>
      </c>
      <c r="I92" s="105"/>
      <c r="J92" s="105"/>
    </row>
    <row r="93" s="33" customFormat="1" ht="27" spans="1:10">
      <c r="A93" s="60"/>
      <c r="B93" s="83"/>
      <c r="C93" s="83" t="s">
        <v>342</v>
      </c>
      <c r="D93" s="88" t="s">
        <v>343</v>
      </c>
      <c r="E93" s="97">
        <v>20000</v>
      </c>
      <c r="F93" s="98">
        <v>0.06</v>
      </c>
      <c r="G93" s="97">
        <v>18867.9245283019</v>
      </c>
      <c r="H93" s="99">
        <v>6000</v>
      </c>
      <c r="I93" s="100">
        <v>7547.17</v>
      </c>
      <c r="J93" s="100">
        <f>G93-I93</f>
        <v>11320.7545283019</v>
      </c>
    </row>
    <row r="94" s="32" customFormat="1" spans="1:10">
      <c r="A94" s="54"/>
      <c r="B94" s="82"/>
      <c r="C94" s="82" t="s">
        <v>258</v>
      </c>
      <c r="D94" s="101" t="s">
        <v>344</v>
      </c>
      <c r="E94" s="102">
        <v>146476</v>
      </c>
      <c r="F94" s="103">
        <v>0.03</v>
      </c>
      <c r="G94" s="102">
        <v>142209.708737864</v>
      </c>
      <c r="H94" s="104">
        <v>4394.32000000001</v>
      </c>
      <c r="I94" s="105"/>
      <c r="J94" s="105"/>
    </row>
    <row r="95" s="32" customFormat="1" ht="27" spans="1:10">
      <c r="A95" s="54"/>
      <c r="B95" s="82"/>
      <c r="C95" s="82" t="s">
        <v>258</v>
      </c>
      <c r="D95" s="101" t="s">
        <v>345</v>
      </c>
      <c r="E95" s="102">
        <v>77000</v>
      </c>
      <c r="F95" s="103">
        <v>0.03</v>
      </c>
      <c r="G95" s="102">
        <v>74757.2815533981</v>
      </c>
      <c r="H95" s="104">
        <v>11550</v>
      </c>
      <c r="I95" s="105"/>
      <c r="J95" s="105">
        <f>G95*0.1</f>
        <v>7475.72815533981</v>
      </c>
    </row>
    <row r="96" s="32" customFormat="1" ht="27" spans="1:10">
      <c r="A96" s="54"/>
      <c r="B96" s="82"/>
      <c r="C96" s="82" t="s">
        <v>199</v>
      </c>
      <c r="D96" s="101" t="s">
        <v>346</v>
      </c>
      <c r="E96" s="102">
        <v>300000</v>
      </c>
      <c r="F96" s="103">
        <v>0.03</v>
      </c>
      <c r="G96" s="102">
        <v>291262.13592233</v>
      </c>
      <c r="H96" s="104">
        <v>60000</v>
      </c>
      <c r="I96" s="105"/>
      <c r="J96" s="105"/>
    </row>
    <row r="97" s="31" customFormat="1" spans="1:10">
      <c r="A97" s="67"/>
      <c r="B97" s="84" t="s">
        <v>347</v>
      </c>
      <c r="C97" s="84" t="s">
        <v>304</v>
      </c>
      <c r="D97" s="93" t="s">
        <v>348</v>
      </c>
      <c r="E97" s="94">
        <v>2000</v>
      </c>
      <c r="F97" s="95">
        <v>0.06</v>
      </c>
      <c r="G97" s="94">
        <v>1886.79245283019</v>
      </c>
      <c r="H97" s="96">
        <v>0</v>
      </c>
      <c r="I97" s="36"/>
      <c r="J97" s="36"/>
    </row>
    <row r="98" s="33" customFormat="1" spans="1:10">
      <c r="A98" s="60"/>
      <c r="B98" s="83" t="s">
        <v>349</v>
      </c>
      <c r="C98" s="83" t="s">
        <v>214</v>
      </c>
      <c r="D98" s="88" t="s">
        <v>350</v>
      </c>
      <c r="E98" s="97">
        <v>11000</v>
      </c>
      <c r="F98" s="98">
        <v>0.06</v>
      </c>
      <c r="G98" s="97">
        <v>10377.358490566</v>
      </c>
      <c r="H98" s="99">
        <v>0</v>
      </c>
      <c r="I98" s="100"/>
      <c r="J98" s="100"/>
    </row>
    <row r="99" s="32" customFormat="1" ht="27" spans="1:10">
      <c r="A99" s="54"/>
      <c r="B99" s="82"/>
      <c r="C99" s="82" t="s">
        <v>199</v>
      </c>
      <c r="D99" s="101" t="s">
        <v>351</v>
      </c>
      <c r="E99" s="102">
        <v>333074.75</v>
      </c>
      <c r="F99" s="103">
        <v>0.01</v>
      </c>
      <c r="G99" s="102">
        <v>329776.98019802</v>
      </c>
      <c r="H99" s="104">
        <v>99922.35</v>
      </c>
      <c r="I99" s="105"/>
      <c r="J99" s="105"/>
    </row>
    <row r="100" s="32" customFormat="1" ht="27" spans="1:10">
      <c r="A100" s="54"/>
      <c r="B100" s="82"/>
      <c r="C100" s="82" t="s">
        <v>199</v>
      </c>
      <c r="D100" s="101" t="s">
        <v>352</v>
      </c>
      <c r="E100" s="102">
        <v>355008</v>
      </c>
      <c r="F100" s="103">
        <v>0.09</v>
      </c>
      <c r="G100" s="102">
        <v>325695.412844037</v>
      </c>
      <c r="H100" s="104">
        <v>106502.4</v>
      </c>
      <c r="I100" s="105"/>
      <c r="J100" s="105"/>
    </row>
    <row r="101" s="33" customFormat="1" ht="27" spans="1:10">
      <c r="A101" s="112"/>
      <c r="B101" s="83"/>
      <c r="C101" s="83" t="s">
        <v>214</v>
      </c>
      <c r="D101" s="88" t="s">
        <v>353</v>
      </c>
      <c r="E101" s="63">
        <v>1378</v>
      </c>
      <c r="F101" s="64">
        <v>0.06</v>
      </c>
      <c r="G101" s="63">
        <v>1300</v>
      </c>
      <c r="H101" s="65"/>
      <c r="I101" s="75"/>
      <c r="J101" s="75"/>
    </row>
    <row r="102" s="32" customFormat="1" spans="1:10">
      <c r="A102" s="113"/>
      <c r="B102" s="82"/>
      <c r="C102" s="82" t="s">
        <v>199</v>
      </c>
      <c r="D102" s="101" t="s">
        <v>354</v>
      </c>
      <c r="E102" s="102">
        <v>630</v>
      </c>
      <c r="F102" s="103">
        <v>0.06</v>
      </c>
      <c r="G102" s="102">
        <v>594.339622641509</v>
      </c>
      <c r="H102" s="104"/>
      <c r="I102" s="105"/>
      <c r="J102" s="105"/>
    </row>
    <row r="103" s="32" customFormat="1" spans="1:10">
      <c r="A103" s="113"/>
      <c r="B103" s="82"/>
      <c r="C103" s="82" t="s">
        <v>355</v>
      </c>
      <c r="D103" s="101" t="s">
        <v>356</v>
      </c>
      <c r="E103" s="102">
        <v>58500</v>
      </c>
      <c r="F103" s="103">
        <v>0.06</v>
      </c>
      <c r="G103" s="102">
        <v>55188.679245283</v>
      </c>
      <c r="H103" s="104">
        <v>5850</v>
      </c>
      <c r="I103" s="105" t="s">
        <v>339</v>
      </c>
      <c r="J103" s="105"/>
    </row>
    <row r="104" s="31" customFormat="1" spans="1:10">
      <c r="A104" s="114"/>
      <c r="B104" s="84"/>
      <c r="C104" s="87" t="s">
        <v>216</v>
      </c>
      <c r="D104" s="93" t="s">
        <v>357</v>
      </c>
      <c r="E104" s="94">
        <v>5000</v>
      </c>
      <c r="F104" s="95"/>
      <c r="G104" s="94">
        <v>5000</v>
      </c>
      <c r="H104" s="96"/>
      <c r="I104" s="36"/>
      <c r="J104" s="36"/>
    </row>
    <row r="105" s="31" customFormat="1" ht="27" spans="1:10">
      <c r="A105" s="114"/>
      <c r="B105" s="84"/>
      <c r="C105" s="87" t="s">
        <v>216</v>
      </c>
      <c r="D105" s="93" t="s">
        <v>358</v>
      </c>
      <c r="E105" s="94">
        <v>8949.6</v>
      </c>
      <c r="F105" s="95"/>
      <c r="G105" s="94">
        <v>8949.6</v>
      </c>
      <c r="H105" s="96"/>
      <c r="I105" s="36"/>
      <c r="J105" s="36"/>
    </row>
    <row r="106" s="31" customFormat="1" spans="1:10">
      <c r="A106" s="114"/>
      <c r="B106" s="84"/>
      <c r="C106" s="84" t="s">
        <v>216</v>
      </c>
      <c r="D106" s="93" t="s">
        <v>359</v>
      </c>
      <c r="E106" s="94"/>
      <c r="F106" s="95"/>
      <c r="G106" s="94"/>
      <c r="H106" s="96"/>
      <c r="I106" s="36"/>
      <c r="J106" s="36"/>
    </row>
    <row r="107" s="32" customFormat="1" spans="1:10">
      <c r="A107" s="113"/>
      <c r="B107" s="82"/>
      <c r="C107" s="82" t="s">
        <v>199</v>
      </c>
      <c r="D107" s="101" t="s">
        <v>360</v>
      </c>
      <c r="E107" s="102">
        <v>2984204.3</v>
      </c>
      <c r="F107" s="103"/>
      <c r="G107" s="102">
        <v>2984204.3</v>
      </c>
      <c r="H107" s="104"/>
      <c r="I107" s="105"/>
      <c r="J107" s="105"/>
    </row>
    <row r="108" s="31" customFormat="1" spans="1:10">
      <c r="A108" s="114"/>
      <c r="B108" s="84"/>
      <c r="C108" s="87" t="s">
        <v>216</v>
      </c>
      <c r="D108" s="93" t="s">
        <v>361</v>
      </c>
      <c r="E108" s="94">
        <v>3000</v>
      </c>
      <c r="F108" s="95">
        <v>0.06</v>
      </c>
      <c r="G108" s="94">
        <v>2830.18867924528</v>
      </c>
      <c r="H108" s="96"/>
      <c r="I108" s="36"/>
      <c r="J108" s="36"/>
    </row>
    <row r="109" s="31" customFormat="1" spans="1:10">
      <c r="A109" s="114"/>
      <c r="B109" s="84"/>
      <c r="C109" s="87" t="s">
        <v>216</v>
      </c>
      <c r="D109" s="93" t="s">
        <v>362</v>
      </c>
      <c r="E109" s="94">
        <v>1378</v>
      </c>
      <c r="F109" s="95">
        <v>0.06</v>
      </c>
      <c r="G109" s="94">
        <v>1300</v>
      </c>
      <c r="H109" s="96"/>
      <c r="I109" s="36"/>
      <c r="J109" s="36"/>
    </row>
    <row r="110" s="31" customFormat="1" spans="1:10">
      <c r="A110" s="115"/>
      <c r="B110" s="84"/>
      <c r="C110" s="87" t="s">
        <v>216</v>
      </c>
      <c r="D110" s="93" t="s">
        <v>363</v>
      </c>
      <c r="E110" s="94">
        <v>689</v>
      </c>
      <c r="F110" s="95">
        <v>0.06</v>
      </c>
      <c r="G110" s="94">
        <v>650</v>
      </c>
      <c r="H110" s="96"/>
      <c r="I110" s="36"/>
      <c r="J110" s="36"/>
    </row>
    <row r="111" s="31" customFormat="1" spans="1:10">
      <c r="A111" s="114"/>
      <c r="B111" s="84"/>
      <c r="C111" s="87" t="s">
        <v>216</v>
      </c>
      <c r="D111" s="93" t="s">
        <v>364</v>
      </c>
      <c r="E111" s="94">
        <v>65639.84</v>
      </c>
      <c r="F111" s="95">
        <v>0.09</v>
      </c>
      <c r="G111" s="94">
        <v>60220.0366972477</v>
      </c>
      <c r="H111" s="96"/>
      <c r="I111" s="36"/>
      <c r="J111" s="36"/>
    </row>
    <row r="112" s="31" customFormat="1" ht="27" spans="1:10">
      <c r="A112" s="114"/>
      <c r="B112" s="84"/>
      <c r="C112" s="87" t="s">
        <v>216</v>
      </c>
      <c r="D112" s="93" t="s">
        <v>365</v>
      </c>
      <c r="E112" s="94">
        <v>51316</v>
      </c>
      <c r="F112" s="95">
        <v>0.06</v>
      </c>
      <c r="G112" s="94">
        <v>48411.320754717</v>
      </c>
      <c r="H112" s="96">
        <v>0</v>
      </c>
      <c r="I112" s="36"/>
      <c r="J112" s="36"/>
    </row>
    <row r="113" s="32" customFormat="1" spans="1:10">
      <c r="A113" s="113"/>
      <c r="B113" s="82"/>
      <c r="C113" s="82" t="s">
        <v>258</v>
      </c>
      <c r="D113" s="101" t="s">
        <v>366</v>
      </c>
      <c r="E113" s="102">
        <v>1300000</v>
      </c>
      <c r="F113" s="103">
        <v>0.03</v>
      </c>
      <c r="G113" s="102">
        <v>1262135.9223301</v>
      </c>
      <c r="H113" s="104">
        <v>130000</v>
      </c>
      <c r="I113" s="105"/>
      <c r="J113" s="105"/>
    </row>
    <row r="114" s="33" customFormat="1" ht="27" spans="1:10">
      <c r="A114" s="112"/>
      <c r="B114" s="83"/>
      <c r="C114" s="83" t="s">
        <v>367</v>
      </c>
      <c r="D114" s="88" t="s">
        <v>368</v>
      </c>
      <c r="E114" s="97">
        <v>195000</v>
      </c>
      <c r="F114" s="98">
        <v>0.03</v>
      </c>
      <c r="G114" s="97">
        <v>189320.388349515</v>
      </c>
      <c r="H114" s="99">
        <v>39000</v>
      </c>
      <c r="I114" s="100" t="s">
        <v>369</v>
      </c>
      <c r="J114" s="100">
        <f>G114-151456.31</f>
        <v>37864.0783495146</v>
      </c>
    </row>
    <row r="115" s="33" customFormat="1" ht="27" spans="1:10">
      <c r="A115" s="112"/>
      <c r="B115" s="83"/>
      <c r="C115" s="83" t="s">
        <v>214</v>
      </c>
      <c r="D115" s="88" t="s">
        <v>370</v>
      </c>
      <c r="E115" s="97">
        <v>14926.87</v>
      </c>
      <c r="F115" s="98">
        <v>0.01</v>
      </c>
      <c r="G115" s="97">
        <v>14779.0792079208</v>
      </c>
      <c r="H115" s="99">
        <v>0</v>
      </c>
      <c r="I115" s="100"/>
      <c r="J115" s="100"/>
    </row>
    <row r="116" s="31" customFormat="1" ht="27" spans="1:10">
      <c r="A116" s="114"/>
      <c r="B116" s="84"/>
      <c r="C116" s="84" t="s">
        <v>336</v>
      </c>
      <c r="D116" s="93" t="s">
        <v>371</v>
      </c>
      <c r="E116" s="94">
        <v>31200</v>
      </c>
      <c r="F116" s="95">
        <v>0.06</v>
      </c>
      <c r="G116" s="94">
        <v>29433.9622641509</v>
      </c>
      <c r="H116" s="96">
        <v>0</v>
      </c>
      <c r="I116" s="36"/>
      <c r="J116" s="36"/>
    </row>
    <row r="117" s="33" customFormat="1" spans="1:10">
      <c r="A117" s="112"/>
      <c r="B117" s="83"/>
      <c r="C117" s="83" t="s">
        <v>367</v>
      </c>
      <c r="D117" s="88" t="s">
        <v>372</v>
      </c>
      <c r="E117" s="97">
        <v>9450</v>
      </c>
      <c r="F117" s="98">
        <v>0.01</v>
      </c>
      <c r="G117" s="97">
        <v>9356.43564356436</v>
      </c>
      <c r="H117" s="99">
        <v>283.5</v>
      </c>
      <c r="I117" s="100" t="s">
        <v>373</v>
      </c>
      <c r="J117" s="100">
        <f>G117-9075.74</f>
        <v>280.695643564357</v>
      </c>
    </row>
    <row r="118" s="31" customFormat="1" spans="1:10">
      <c r="A118" s="114"/>
      <c r="B118" s="84"/>
      <c r="C118" s="84" t="s">
        <v>336</v>
      </c>
      <c r="D118" s="93" t="s">
        <v>374</v>
      </c>
      <c r="E118" s="94">
        <v>4641.44</v>
      </c>
      <c r="F118" s="95">
        <v>0.01</v>
      </c>
      <c r="G118" s="94">
        <v>4595.48514851485</v>
      </c>
      <c r="H118" s="96">
        <v>0</v>
      </c>
      <c r="I118" s="36"/>
      <c r="J118" s="36"/>
    </row>
    <row r="119" s="33" customFormat="1" ht="27" spans="1:10">
      <c r="A119" s="112"/>
      <c r="B119" s="83"/>
      <c r="C119" s="83" t="s">
        <v>367</v>
      </c>
      <c r="D119" s="88" t="s">
        <v>375</v>
      </c>
      <c r="E119" s="97">
        <v>117640</v>
      </c>
      <c r="F119" s="98">
        <v>0.03</v>
      </c>
      <c r="G119" s="97">
        <v>114213.59223301</v>
      </c>
      <c r="H119" s="99">
        <v>58820</v>
      </c>
      <c r="I119" s="100" t="s">
        <v>376</v>
      </c>
      <c r="J119" s="100">
        <f>G119-57106.8</f>
        <v>57106.7922330097</v>
      </c>
    </row>
    <row r="120" s="31" customFormat="1" spans="1:10">
      <c r="A120" s="114"/>
      <c r="B120" s="84"/>
      <c r="C120" s="84" t="s">
        <v>336</v>
      </c>
      <c r="D120" s="93" t="s">
        <v>377</v>
      </c>
      <c r="E120" s="94">
        <v>26930</v>
      </c>
      <c r="F120" s="95">
        <v>0.01</v>
      </c>
      <c r="G120" s="94">
        <v>26663.3663366337</v>
      </c>
      <c r="H120" s="96">
        <v>0</v>
      </c>
      <c r="I120" s="36"/>
      <c r="J120" s="36"/>
    </row>
    <row r="121" s="33" customFormat="1" spans="1:10">
      <c r="A121" s="112"/>
      <c r="B121" s="83"/>
      <c r="C121" s="83" t="s">
        <v>378</v>
      </c>
      <c r="D121" s="88" t="s">
        <v>379</v>
      </c>
      <c r="E121" s="97">
        <v>25956</v>
      </c>
      <c r="F121" s="98">
        <v>0.03</v>
      </c>
      <c r="G121" s="97">
        <v>25200</v>
      </c>
      <c r="H121" s="99">
        <v>25956</v>
      </c>
      <c r="I121" s="100" t="s">
        <v>339</v>
      </c>
      <c r="J121" s="100"/>
    </row>
    <row r="122" s="31" customFormat="1" ht="27" spans="1:10">
      <c r="A122" s="114"/>
      <c r="B122" s="84"/>
      <c r="C122" s="84" t="s">
        <v>336</v>
      </c>
      <c r="D122" s="93" t="s">
        <v>380</v>
      </c>
      <c r="E122" s="94">
        <v>120000</v>
      </c>
      <c r="F122" s="95">
        <v>0.09</v>
      </c>
      <c r="G122" s="94">
        <v>110091.743119266</v>
      </c>
      <c r="H122" s="96">
        <v>0</v>
      </c>
      <c r="I122" s="36"/>
      <c r="J122" s="36"/>
    </row>
    <row r="123" s="33" customFormat="1" ht="27" spans="1:10">
      <c r="A123" s="112"/>
      <c r="B123" s="83"/>
      <c r="C123" s="83" t="s">
        <v>214</v>
      </c>
      <c r="D123" s="88" t="s">
        <v>381</v>
      </c>
      <c r="E123" s="97">
        <v>96510</v>
      </c>
      <c r="F123" s="98">
        <v>0.03</v>
      </c>
      <c r="G123" s="97">
        <v>93699.0291262136</v>
      </c>
      <c r="H123" s="99">
        <v>30210</v>
      </c>
      <c r="I123" s="100" t="s">
        <v>382</v>
      </c>
      <c r="J123" s="100">
        <f>G123*0.1</f>
        <v>9369.90291262136</v>
      </c>
    </row>
    <row r="124" s="32" customFormat="1" ht="27" spans="1:10">
      <c r="A124" s="113"/>
      <c r="B124" s="82"/>
      <c r="C124" s="82" t="s">
        <v>258</v>
      </c>
      <c r="D124" s="101" t="s">
        <v>383</v>
      </c>
      <c r="E124" s="102">
        <v>34762.96</v>
      </c>
      <c r="F124" s="103">
        <v>0.01</v>
      </c>
      <c r="G124" s="102">
        <v>34418.7722772277</v>
      </c>
      <c r="H124" s="104">
        <v>34762.96</v>
      </c>
      <c r="I124" s="105"/>
      <c r="J124" s="105"/>
    </row>
    <row r="125" s="32" customFormat="1" ht="27" spans="1:10">
      <c r="A125" s="113"/>
      <c r="B125" s="82"/>
      <c r="C125" s="82" t="s">
        <v>258</v>
      </c>
      <c r="D125" s="101" t="s">
        <v>384</v>
      </c>
      <c r="E125" s="102">
        <v>40000</v>
      </c>
      <c r="F125" s="103">
        <v>0.03</v>
      </c>
      <c r="G125" s="102">
        <v>38834.9514563107</v>
      </c>
      <c r="H125" s="104">
        <v>40000</v>
      </c>
      <c r="I125" s="105"/>
      <c r="J125" s="105"/>
    </row>
    <row r="126" s="33" customFormat="1" ht="27" spans="1:10">
      <c r="A126" s="112"/>
      <c r="B126" s="83"/>
      <c r="C126" s="83" t="s">
        <v>367</v>
      </c>
      <c r="D126" s="88" t="s">
        <v>385</v>
      </c>
      <c r="E126" s="97">
        <v>10400</v>
      </c>
      <c r="F126" s="98">
        <v>0.03</v>
      </c>
      <c r="G126" s="97">
        <v>10097.0873786408</v>
      </c>
      <c r="H126" s="99">
        <v>312</v>
      </c>
      <c r="I126" s="100" t="s">
        <v>339</v>
      </c>
      <c r="J126" s="100"/>
    </row>
    <row r="127" s="33" customFormat="1" ht="27" spans="1:10">
      <c r="A127" s="112"/>
      <c r="B127" s="83"/>
      <c r="C127" s="83" t="s">
        <v>214</v>
      </c>
      <c r="D127" s="88" t="s">
        <v>386</v>
      </c>
      <c r="E127" s="97">
        <v>72000</v>
      </c>
      <c r="F127" s="98">
        <v>0.03</v>
      </c>
      <c r="G127" s="97">
        <v>69902.9126213592</v>
      </c>
      <c r="H127" s="99">
        <v>7280</v>
      </c>
      <c r="I127" s="100" t="s">
        <v>387</v>
      </c>
      <c r="J127" s="100">
        <f>G127*0.1</f>
        <v>6990.29126213592</v>
      </c>
    </row>
    <row r="128" s="33" customFormat="1" ht="27" spans="1:10">
      <c r="A128" s="112"/>
      <c r="B128" s="83"/>
      <c r="C128" s="83" t="s">
        <v>367</v>
      </c>
      <c r="D128" s="88" t="s">
        <v>388</v>
      </c>
      <c r="E128" s="97">
        <v>22000</v>
      </c>
      <c r="F128" s="98">
        <v>0.01</v>
      </c>
      <c r="G128" s="97">
        <v>21782.1782178218</v>
      </c>
      <c r="H128" s="99">
        <v>22000</v>
      </c>
      <c r="I128" s="100"/>
      <c r="J128" s="100">
        <f>G128</f>
        <v>21782.1782178218</v>
      </c>
    </row>
    <row r="129" s="33" customFormat="1" spans="1:10">
      <c r="A129" s="60"/>
      <c r="B129" s="83"/>
      <c r="C129" s="83" t="s">
        <v>214</v>
      </c>
      <c r="D129" s="88" t="s">
        <v>389</v>
      </c>
      <c r="E129" s="97">
        <v>32000</v>
      </c>
      <c r="F129" s="98">
        <v>0.01</v>
      </c>
      <c r="G129" s="97">
        <v>31683.1683168317</v>
      </c>
      <c r="H129" s="99">
        <v>32000</v>
      </c>
      <c r="I129" s="100"/>
      <c r="J129" s="100">
        <f>G129*0.1</f>
        <v>3168.31683168317</v>
      </c>
    </row>
    <row r="130" s="31" customFormat="1" ht="27" spans="1:10">
      <c r="A130" s="67"/>
      <c r="B130" s="84"/>
      <c r="C130" s="87"/>
      <c r="D130" s="93" t="s">
        <v>212</v>
      </c>
      <c r="E130" s="94">
        <v>50000</v>
      </c>
      <c r="F130" s="95">
        <v>0.06</v>
      </c>
      <c r="G130" s="94">
        <v>47169.8113207547</v>
      </c>
      <c r="H130" s="96"/>
      <c r="I130" s="36"/>
      <c r="J130" s="36"/>
    </row>
    <row r="131" s="31" customFormat="1" ht="27" spans="1:10">
      <c r="A131" s="114"/>
      <c r="B131" s="84"/>
      <c r="C131" s="84"/>
      <c r="D131" s="93" t="s">
        <v>390</v>
      </c>
      <c r="E131" s="94">
        <v>90000</v>
      </c>
      <c r="F131" s="95">
        <v>0.06</v>
      </c>
      <c r="G131" s="94">
        <v>84905.6603773585</v>
      </c>
      <c r="H131" s="96"/>
      <c r="I131" s="36"/>
      <c r="J131" s="36"/>
    </row>
    <row r="132" s="31" customFormat="1" ht="40.5" spans="1:10">
      <c r="A132" s="114"/>
      <c r="B132" s="84"/>
      <c r="C132" s="84"/>
      <c r="D132" s="93" t="s">
        <v>391</v>
      </c>
      <c r="E132" s="94">
        <v>1200</v>
      </c>
      <c r="F132" s="95">
        <v>0.06</v>
      </c>
      <c r="G132" s="94">
        <v>1188.11881188119</v>
      </c>
      <c r="H132" s="96">
        <v>0</v>
      </c>
      <c r="I132" s="36"/>
      <c r="J132" s="36"/>
    </row>
    <row r="133" s="33" customFormat="1" ht="27" spans="1:10">
      <c r="A133" s="112"/>
      <c r="B133" s="83"/>
      <c r="C133" s="83" t="s">
        <v>214</v>
      </c>
      <c r="D133" s="88" t="s">
        <v>392</v>
      </c>
      <c r="E133" s="97">
        <v>29450</v>
      </c>
      <c r="F133" s="98">
        <v>0.03</v>
      </c>
      <c r="G133" s="97">
        <v>28592.2330097087</v>
      </c>
      <c r="H133" s="99">
        <v>29450</v>
      </c>
      <c r="I133" s="100"/>
      <c r="J133" s="100">
        <f>G133</f>
        <v>28592.2330097087</v>
      </c>
    </row>
    <row r="134" s="33" customFormat="1" ht="27" spans="1:10">
      <c r="A134" s="112"/>
      <c r="B134" s="83"/>
      <c r="C134" s="83" t="s">
        <v>393</v>
      </c>
      <c r="D134" s="88" t="s">
        <v>394</v>
      </c>
      <c r="E134" s="97">
        <v>50558.52</v>
      </c>
      <c r="F134" s="98">
        <v>0.09</v>
      </c>
      <c r="G134" s="97">
        <v>46383.9633027523</v>
      </c>
      <c r="H134" s="99">
        <v>10112.52</v>
      </c>
      <c r="I134" s="100" t="s">
        <v>395</v>
      </c>
      <c r="J134" s="100">
        <f>G134-37106.42</f>
        <v>9277.5433027523</v>
      </c>
    </row>
    <row r="135" s="31" customFormat="1" ht="27" spans="1:10">
      <c r="A135" s="114"/>
      <c r="B135" s="84"/>
      <c r="C135" s="84"/>
      <c r="D135" s="93" t="s">
        <v>396</v>
      </c>
      <c r="E135" s="94">
        <v>8000</v>
      </c>
      <c r="F135" s="116">
        <v>0.01</v>
      </c>
      <c r="G135" s="117">
        <v>7920.79207920792</v>
      </c>
      <c r="H135" s="118">
        <v>1600</v>
      </c>
      <c r="I135" s="36" t="s">
        <v>397</v>
      </c>
      <c r="J135" s="36"/>
    </row>
    <row r="136" s="33" customFormat="1" ht="27" spans="1:10">
      <c r="A136" s="112"/>
      <c r="B136" s="83"/>
      <c r="C136" s="83" t="s">
        <v>214</v>
      </c>
      <c r="D136" s="88" t="s">
        <v>398</v>
      </c>
      <c r="E136" s="97">
        <v>415900</v>
      </c>
      <c r="F136" s="98">
        <v>0.03</v>
      </c>
      <c r="G136" s="97">
        <v>403786.40776699</v>
      </c>
      <c r="H136" s="99">
        <v>291130</v>
      </c>
      <c r="I136" s="100"/>
      <c r="J136" s="100">
        <f>G136*0.1</f>
        <v>40378.640776699</v>
      </c>
    </row>
    <row r="137" s="31" customFormat="1" ht="27" spans="1:10">
      <c r="A137" s="114"/>
      <c r="B137" s="84"/>
      <c r="C137" s="84"/>
      <c r="D137" s="93" t="s">
        <v>399</v>
      </c>
      <c r="E137" s="94">
        <v>1741</v>
      </c>
      <c r="F137" s="95">
        <v>0.06</v>
      </c>
      <c r="G137" s="94">
        <v>1642.45283018868</v>
      </c>
      <c r="H137" s="96">
        <v>0</v>
      </c>
      <c r="I137" s="36"/>
      <c r="J137" s="36"/>
    </row>
    <row r="138" s="31" customFormat="1" ht="27" spans="1:10">
      <c r="A138" s="114"/>
      <c r="B138" s="84"/>
      <c r="C138" s="84"/>
      <c r="D138" s="93" t="s">
        <v>400</v>
      </c>
      <c r="E138" s="94">
        <v>12000</v>
      </c>
      <c r="F138" s="95">
        <v>0.06</v>
      </c>
      <c r="G138" s="94">
        <v>11320.7547169811</v>
      </c>
      <c r="H138" s="96">
        <v>0</v>
      </c>
      <c r="I138" s="36"/>
      <c r="J138" s="36"/>
    </row>
    <row r="139" s="31" customFormat="1" spans="1:10">
      <c r="A139" s="114"/>
      <c r="B139" s="84"/>
      <c r="C139" s="84"/>
      <c r="D139" s="93" t="s">
        <v>401</v>
      </c>
      <c r="E139" s="94">
        <v>22136.97</v>
      </c>
      <c r="F139" s="95">
        <v>0.09</v>
      </c>
      <c r="G139" s="94">
        <v>20309.1467889908</v>
      </c>
      <c r="H139" s="96">
        <v>0</v>
      </c>
      <c r="I139" s="36"/>
      <c r="J139" s="36"/>
    </row>
    <row r="140" s="33" customFormat="1" ht="27" spans="1:10">
      <c r="A140" s="112"/>
      <c r="B140" s="83"/>
      <c r="C140" s="83" t="s">
        <v>42</v>
      </c>
      <c r="D140" s="88" t="s">
        <v>402</v>
      </c>
      <c r="E140" s="97">
        <v>17001.18</v>
      </c>
      <c r="F140" s="98">
        <v>0.01</v>
      </c>
      <c r="G140" s="97">
        <v>16832.8514851485</v>
      </c>
      <c r="H140" s="99">
        <v>17001.18</v>
      </c>
      <c r="I140" s="100"/>
      <c r="J140" s="100">
        <f>G140</f>
        <v>16832.8514851485</v>
      </c>
    </row>
    <row r="141" s="31" customFormat="1" ht="27" spans="1:10">
      <c r="A141" s="114"/>
      <c r="B141" s="84"/>
      <c r="C141" s="84"/>
      <c r="D141" s="93" t="s">
        <v>403</v>
      </c>
      <c r="E141" s="94">
        <v>577795.29</v>
      </c>
      <c r="F141" s="95">
        <v>0.09</v>
      </c>
      <c r="G141" s="94">
        <v>530087.422018349</v>
      </c>
      <c r="H141" s="96">
        <v>0</v>
      </c>
      <c r="I141" s="36"/>
      <c r="J141" s="36"/>
    </row>
    <row r="142" s="31" customFormat="1" ht="27" spans="1:10">
      <c r="A142" s="114"/>
      <c r="B142" s="84"/>
      <c r="C142" s="84"/>
      <c r="D142" s="93" t="s">
        <v>404</v>
      </c>
      <c r="E142" s="94">
        <v>485260.3</v>
      </c>
      <c r="F142" s="95">
        <v>0.09</v>
      </c>
      <c r="G142" s="94">
        <v>445192.935779816</v>
      </c>
      <c r="H142" s="96">
        <v>0</v>
      </c>
      <c r="I142" s="36"/>
      <c r="J142" s="36"/>
    </row>
    <row r="143" s="31" customFormat="1" spans="1:10">
      <c r="A143" s="114"/>
      <c r="B143" s="84"/>
      <c r="C143" s="84"/>
      <c r="D143" s="93" t="s">
        <v>405</v>
      </c>
      <c r="E143" s="94">
        <v>6500</v>
      </c>
      <c r="F143" s="95" t="s">
        <v>406</v>
      </c>
      <c r="G143" s="94">
        <v>6132.07547169811</v>
      </c>
      <c r="H143" s="96"/>
      <c r="I143" s="36"/>
      <c r="J143" s="36"/>
    </row>
    <row r="144" s="31" customFormat="1" spans="1:10">
      <c r="A144" s="114"/>
      <c r="B144" s="84"/>
      <c r="C144" s="84"/>
      <c r="D144" s="93" t="s">
        <v>407</v>
      </c>
      <c r="E144" s="94">
        <v>10600</v>
      </c>
      <c r="F144" s="95">
        <v>0.03</v>
      </c>
      <c r="G144" s="94">
        <v>10291.2621359223</v>
      </c>
      <c r="H144" s="96"/>
      <c r="I144" s="36"/>
      <c r="J144" s="36"/>
    </row>
    <row r="145" s="31" customFormat="1" ht="27" spans="1:10">
      <c r="A145" s="114"/>
      <c r="B145" s="84"/>
      <c r="C145" s="84"/>
      <c r="D145" s="93" t="s">
        <v>408</v>
      </c>
      <c r="E145" s="94">
        <v>18400</v>
      </c>
      <c r="F145" s="95" t="s">
        <v>409</v>
      </c>
      <c r="G145" s="94">
        <v>18217.8217821782</v>
      </c>
      <c r="H145" s="96"/>
      <c r="I145" s="36"/>
      <c r="J145" s="36"/>
    </row>
    <row r="146" s="31" customFormat="1" ht="27" spans="1:10">
      <c r="A146" s="114"/>
      <c r="B146" s="84"/>
      <c r="C146" s="84"/>
      <c r="D146" s="93" t="s">
        <v>410</v>
      </c>
      <c r="E146" s="94">
        <v>42380</v>
      </c>
      <c r="F146" s="95">
        <v>0.03</v>
      </c>
      <c r="G146" s="94">
        <v>41145.6310679612</v>
      </c>
      <c r="H146" s="96"/>
      <c r="I146" s="36"/>
      <c r="J146" s="36"/>
    </row>
    <row r="147" s="31" customFormat="1" spans="1:10">
      <c r="A147" s="114"/>
      <c r="B147" s="84"/>
      <c r="C147" s="84"/>
      <c r="D147" s="93" t="s">
        <v>411</v>
      </c>
      <c r="E147" s="94">
        <v>2022</v>
      </c>
      <c r="F147" s="95">
        <v>0.01</v>
      </c>
      <c r="G147" s="94">
        <v>2001.9801980198</v>
      </c>
      <c r="H147" s="96"/>
      <c r="I147" s="36"/>
      <c r="J147" s="36"/>
    </row>
    <row r="148" s="31" customFormat="1" spans="1:10">
      <c r="A148" s="114"/>
      <c r="B148" s="84"/>
      <c r="C148" s="84"/>
      <c r="D148" s="93" t="s">
        <v>412</v>
      </c>
      <c r="E148" s="94">
        <v>83037.94</v>
      </c>
      <c r="F148" s="95"/>
      <c r="G148" s="94">
        <v>83037.94</v>
      </c>
      <c r="H148" s="96">
        <v>0</v>
      </c>
      <c r="I148" s="36"/>
      <c r="J148" s="36"/>
    </row>
    <row r="149" s="31" customFormat="1" spans="1:10">
      <c r="A149" s="114"/>
      <c r="B149" s="84"/>
      <c r="C149" s="84"/>
      <c r="D149" s="93" t="s">
        <v>412</v>
      </c>
      <c r="E149" s="94">
        <f>21272.43+21272.43</f>
        <v>42544.86</v>
      </c>
      <c r="F149" s="95"/>
      <c r="G149" s="94">
        <v>42544.86</v>
      </c>
      <c r="H149" s="96"/>
      <c r="I149" s="36"/>
      <c r="J149" s="36"/>
    </row>
    <row r="150" s="31" customFormat="1" spans="1:10">
      <c r="A150" s="114"/>
      <c r="B150" s="84"/>
      <c r="C150" s="84"/>
      <c r="D150" s="93" t="s">
        <v>412</v>
      </c>
      <c r="E150" s="94">
        <f>22831.2+22831.2</f>
        <v>45662.4</v>
      </c>
      <c r="F150" s="95"/>
      <c r="G150" s="94">
        <v>45662.4</v>
      </c>
      <c r="H150" s="96"/>
      <c r="I150" s="36"/>
      <c r="J150" s="36"/>
    </row>
    <row r="151" s="31" customFormat="1" spans="1:10">
      <c r="A151" s="114"/>
      <c r="B151" s="84"/>
      <c r="C151" s="84"/>
      <c r="D151" s="93" t="s">
        <v>412</v>
      </c>
      <c r="E151" s="94">
        <v>42544.86</v>
      </c>
      <c r="F151" s="95"/>
      <c r="G151" s="94">
        <v>42544.86</v>
      </c>
      <c r="H151" s="96"/>
      <c r="I151" s="36"/>
      <c r="J151" s="36"/>
    </row>
    <row r="152" s="33" customFormat="1" spans="1:10">
      <c r="A152" s="112"/>
      <c r="B152" s="83"/>
      <c r="C152" s="83" t="s">
        <v>214</v>
      </c>
      <c r="D152" s="88" t="s">
        <v>413</v>
      </c>
      <c r="E152" s="97">
        <v>11089</v>
      </c>
      <c r="F152" s="98"/>
      <c r="G152" s="97"/>
      <c r="H152" s="99"/>
      <c r="I152" s="100"/>
      <c r="J152" s="100"/>
    </row>
    <row r="153" s="31" customFormat="1" ht="14.25" spans="1:10">
      <c r="A153" s="119"/>
      <c r="B153" s="120"/>
      <c r="C153" s="121" t="s">
        <v>216</v>
      </c>
      <c r="D153" s="122" t="s">
        <v>414</v>
      </c>
      <c r="E153" s="123">
        <v>1378</v>
      </c>
      <c r="F153" s="124"/>
      <c r="G153" s="123"/>
      <c r="H153" s="125"/>
      <c r="I153" s="86"/>
      <c r="J153" s="86"/>
    </row>
    <row r="156" s="31" customFormat="1" spans="1:10">
      <c r="A156" s="34"/>
      <c r="B156" s="34"/>
      <c r="C156" s="34"/>
      <c r="D156" s="126"/>
      <c r="E156" s="36"/>
      <c r="F156" s="37"/>
      <c r="G156" s="36"/>
      <c r="H156" s="36"/>
      <c r="I156" s="36"/>
      <c r="J156" s="36"/>
    </row>
    <row r="157" s="31" customFormat="1" spans="1:10">
      <c r="A157" s="34"/>
      <c r="B157" s="34"/>
      <c r="C157" s="34"/>
      <c r="D157" s="126"/>
      <c r="E157" s="36"/>
      <c r="F157" s="37"/>
      <c r="G157" s="36"/>
      <c r="H157" s="36"/>
      <c r="I157" s="36"/>
      <c r="J157" s="36"/>
    </row>
    <row r="159" s="31" customFormat="1" spans="1:10">
      <c r="A159" s="34"/>
      <c r="B159" s="34"/>
      <c r="C159" s="34"/>
      <c r="D159" s="127"/>
      <c r="E159" s="36"/>
      <c r="F159" s="37"/>
      <c r="G159" s="36"/>
      <c r="H159" s="36"/>
      <c r="I159" s="36"/>
      <c r="J159" s="36"/>
    </row>
    <row r="161" s="31" customFormat="1" spans="1:10">
      <c r="A161" s="34"/>
      <c r="B161" s="128"/>
      <c r="C161" s="34"/>
      <c r="D161" s="35"/>
      <c r="E161" s="36"/>
      <c r="F161" s="37"/>
      <c r="G161" s="36"/>
      <c r="H161" s="36"/>
      <c r="I161" s="36"/>
      <c r="J161" s="36"/>
    </row>
    <row r="162" s="31" customFormat="1" spans="1:10">
      <c r="A162" s="34"/>
      <c r="B162" s="34"/>
      <c r="C162" s="34"/>
      <c r="D162" s="35"/>
      <c r="E162" s="36"/>
      <c r="F162" s="129"/>
      <c r="G162" s="36" t="s">
        <v>415</v>
      </c>
      <c r="H162" s="36">
        <v>704951.07</v>
      </c>
      <c r="I162" s="36"/>
      <c r="J162" s="36"/>
    </row>
    <row r="166" s="31" customFormat="1" spans="1:10">
      <c r="A166" s="34"/>
      <c r="B166" s="34"/>
      <c r="C166" s="34"/>
      <c r="D166" s="35"/>
      <c r="E166" s="36"/>
      <c r="F166" s="130"/>
      <c r="G166" s="36" t="s">
        <v>416</v>
      </c>
      <c r="H166" s="36">
        <f>J25+J95</f>
        <v>15139.2055138304</v>
      </c>
      <c r="I166" s="36"/>
      <c r="J166" s="36"/>
    </row>
    <row r="170" s="31" customFormat="1" spans="1:10">
      <c r="A170" s="34"/>
      <c r="B170" s="34"/>
      <c r="C170" s="131"/>
      <c r="D170" s="35" t="s">
        <v>417</v>
      </c>
      <c r="E170" s="36"/>
      <c r="F170" s="37"/>
      <c r="G170" s="36"/>
      <c r="H170" s="36"/>
      <c r="I170" s="36"/>
      <c r="J170" s="36"/>
    </row>
  </sheetData>
  <autoFilter xmlns:etc="http://www.wps.cn/officeDocument/2017/etCustomData" ref="A2:J153" etc:filterBottomFollowUsedRange="0">
    <extLst/>
  </autoFilter>
  <mergeCells count="1">
    <mergeCell ref="A1:J1"/>
  </mergeCells>
  <pageMargins left="0.75" right="0.75" top="1" bottom="1" header="0.5" footer="0.5"/>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N34"/>
  <sheetViews>
    <sheetView workbookViewId="0">
      <selection activeCell="C3" sqref="C3:C20"/>
    </sheetView>
  </sheetViews>
  <sheetFormatPr defaultColWidth="9" defaultRowHeight="18" customHeight="1"/>
  <cols>
    <col min="1" max="1" width="9" style="4"/>
    <col min="2" max="2" width="68.375" style="4" customWidth="1"/>
    <col min="3" max="7" width="15.125" style="4" customWidth="1"/>
    <col min="8" max="8" width="3.625" style="4" customWidth="1"/>
    <col min="9" max="12" width="15.125" style="4" customWidth="1"/>
    <col min="13" max="13" width="16.125" style="4" customWidth="1"/>
    <col min="14" max="14" width="16.875" style="4" customWidth="1"/>
    <col min="15" max="16384" width="9" style="4"/>
  </cols>
  <sheetData>
    <row r="1" s="1" customFormat="1" ht="20" customHeight="1" spans="1:14">
      <c r="A1" s="5"/>
      <c r="C1" s="3"/>
      <c r="D1" s="3"/>
      <c r="E1" s="3"/>
      <c r="F1" s="3"/>
      <c r="G1" s="6"/>
      <c r="M1" s="1">
        <f>K3-J3</f>
        <v>31437006.1697247</v>
      </c>
    </row>
    <row r="2" s="2" customFormat="1" ht="20" customHeight="1" spans="1:14">
      <c r="A2" s="7" t="s">
        <v>190</v>
      </c>
      <c r="B2" s="8" t="s">
        <v>418</v>
      </c>
      <c r="C2" s="9" t="s">
        <v>419</v>
      </c>
      <c r="D2" s="10" t="s">
        <v>420</v>
      </c>
      <c r="E2" s="10" t="s">
        <v>421</v>
      </c>
      <c r="F2" s="10" t="s">
        <v>76</v>
      </c>
      <c r="G2" s="11" t="s">
        <v>422</v>
      </c>
      <c r="H2" s="12"/>
      <c r="I2" s="12"/>
      <c r="J2" s="12" t="s">
        <v>423</v>
      </c>
      <c r="K2" s="12" t="s">
        <v>424</v>
      </c>
      <c r="L2" s="12"/>
      <c r="M2" s="12" t="s">
        <v>425</v>
      </c>
      <c r="N2" s="13" t="s">
        <v>426</v>
      </c>
    </row>
    <row r="3" s="1" customFormat="1" ht="20" customHeight="1" spans="1:14">
      <c r="A3" s="5">
        <v>1</v>
      </c>
      <c r="B3" s="14" t="s">
        <v>427</v>
      </c>
      <c r="C3" s="15">
        <v>52657167.5</v>
      </c>
      <c r="D3" s="16">
        <v>31325760.4</v>
      </c>
      <c r="E3" s="16">
        <v>5495079</v>
      </c>
      <c r="F3" s="16">
        <v>36820839.4</v>
      </c>
      <c r="G3" s="17">
        <v>15836328.1</v>
      </c>
      <c r="H3" s="18"/>
      <c r="I3" s="18" t="s">
        <v>199</v>
      </c>
      <c r="J3" s="17">
        <v>33780586.6055046</v>
      </c>
      <c r="K3" s="17">
        <v>65217592.7752293</v>
      </c>
      <c r="L3" s="17">
        <f>K3*0.1</f>
        <v>6521759.27752293</v>
      </c>
      <c r="M3" s="17">
        <v>31437006.17</v>
      </c>
      <c r="N3" s="19">
        <f>-(2464671.56+580886.24+662596.33+430027.52)</f>
        <v>-4138181.65</v>
      </c>
    </row>
    <row r="4" s="1" customFormat="1" ht="20" customHeight="1" spans="1:14">
      <c r="A4" s="5">
        <v>2</v>
      </c>
      <c r="B4" s="14" t="s">
        <v>428</v>
      </c>
      <c r="C4" s="15">
        <v>2565000</v>
      </c>
      <c r="D4" s="16">
        <v>1436400</v>
      </c>
      <c r="E4" s="16">
        <v>71619</v>
      </c>
      <c r="F4" s="16">
        <v>1508019</v>
      </c>
      <c r="G4" s="17">
        <v>1056981</v>
      </c>
      <c r="H4" s="18"/>
      <c r="I4" s="18" t="s">
        <v>199</v>
      </c>
      <c r="J4" s="17">
        <v>1383503.66972477</v>
      </c>
      <c r="K4" s="17">
        <v>2823853.21100917</v>
      </c>
      <c r="L4" s="17">
        <f t="shared" ref="L4:L20" si="0">K4*0.1</f>
        <v>282385.321100917</v>
      </c>
      <c r="M4" s="17">
        <v>1440349.54</v>
      </c>
      <c r="N4" s="19">
        <v>-82362.39</v>
      </c>
    </row>
    <row r="5" s="1" customFormat="1" ht="20" customHeight="1" spans="1:14">
      <c r="A5" s="5">
        <v>4</v>
      </c>
      <c r="B5" s="14" t="s">
        <v>429</v>
      </c>
      <c r="C5" s="15">
        <v>39491959.25</v>
      </c>
      <c r="D5" s="16">
        <v>22560845.22</v>
      </c>
      <c r="E5" s="16">
        <v>11385655.74</v>
      </c>
      <c r="F5" s="16">
        <v>33946500.96</v>
      </c>
      <c r="G5" s="17">
        <v>5545458.29</v>
      </c>
      <c r="H5" s="18"/>
      <c r="I5" s="18" t="s">
        <v>199</v>
      </c>
      <c r="J5" s="17">
        <v>31143578.8623853</v>
      </c>
      <c r="K5" s="17">
        <v>48912059.6215596</v>
      </c>
      <c r="L5" s="17">
        <f t="shared" si="0"/>
        <v>4891205.96215596</v>
      </c>
      <c r="M5" s="17">
        <v>17768480.76</v>
      </c>
      <c r="N5" s="19"/>
    </row>
    <row r="6" s="3" customFormat="1" ht="20" customHeight="1" spans="1:14">
      <c r="A6" s="5">
        <v>8</v>
      </c>
      <c r="B6" s="20" t="s">
        <v>430</v>
      </c>
      <c r="C6" s="15">
        <v>4381614.6</v>
      </c>
      <c r="D6" s="16">
        <v>2546586</v>
      </c>
      <c r="E6" s="16">
        <v>0</v>
      </c>
      <c r="F6" s="16">
        <v>2546586</v>
      </c>
      <c r="G6" s="17">
        <v>1835028.6</v>
      </c>
      <c r="H6" s="16"/>
      <c r="I6" s="18" t="s">
        <v>199</v>
      </c>
      <c r="J6" s="17">
        <v>2336317.43119266</v>
      </c>
      <c r="K6" s="17">
        <v>4421812.89908257</v>
      </c>
      <c r="L6" s="17">
        <f t="shared" si="0"/>
        <v>442181.289908257</v>
      </c>
      <c r="M6" s="17">
        <v>2085495.47</v>
      </c>
      <c r="N6" s="19">
        <f>-(291500.39+646333.03+361536.03)</f>
        <v>-1299369.45</v>
      </c>
    </row>
    <row r="7" s="1" customFormat="1" ht="20" customHeight="1" spans="1:14">
      <c r="A7" s="5">
        <v>11</v>
      </c>
      <c r="B7" s="14" t="s">
        <v>431</v>
      </c>
      <c r="C7" s="15">
        <v>4200000</v>
      </c>
      <c r="D7" s="16">
        <v>1348717</v>
      </c>
      <c r="E7" s="16">
        <v>0</v>
      </c>
      <c r="F7" s="16">
        <v>1348717</v>
      </c>
      <c r="G7" s="17">
        <v>2851283</v>
      </c>
      <c r="H7" s="18"/>
      <c r="I7" s="18" t="s">
        <v>199</v>
      </c>
      <c r="J7" s="17">
        <v>1237355.04587156</v>
      </c>
      <c r="K7" s="17">
        <v>5009174.31192661</v>
      </c>
      <c r="L7" s="17">
        <v>0</v>
      </c>
      <c r="M7" s="21">
        <v>3771819.27</v>
      </c>
      <c r="N7" s="19"/>
    </row>
    <row r="8" s="1" customFormat="1" ht="20" customHeight="1" spans="1:14">
      <c r="A8" s="5">
        <v>12</v>
      </c>
      <c r="B8" s="14" t="s">
        <v>432</v>
      </c>
      <c r="C8" s="15">
        <v>3070000</v>
      </c>
      <c r="D8" s="16">
        <v>1289400</v>
      </c>
      <c r="E8" s="16">
        <v>923958</v>
      </c>
      <c r="F8" s="16">
        <v>2213358</v>
      </c>
      <c r="G8" s="17">
        <v>856642</v>
      </c>
      <c r="H8" s="18"/>
      <c r="I8" s="18" t="s">
        <v>199</v>
      </c>
      <c r="J8" s="17">
        <v>2030603.66972477</v>
      </c>
      <c r="K8" s="17">
        <v>3379816.51376147</v>
      </c>
      <c r="L8" s="17">
        <f t="shared" si="0"/>
        <v>337981.651376147</v>
      </c>
      <c r="M8" s="17">
        <v>1349212.84</v>
      </c>
      <c r="N8" s="19">
        <f>-190776.15</f>
        <v>-190776.15</v>
      </c>
    </row>
    <row r="9" s="1" customFormat="1" ht="20" customHeight="1" spans="1:14">
      <c r="A9" s="5">
        <v>13</v>
      </c>
      <c r="B9" s="14" t="s">
        <v>433</v>
      </c>
      <c r="C9" s="15">
        <v>2721306</v>
      </c>
      <c r="D9" s="16">
        <v>1551144.8</v>
      </c>
      <c r="E9" s="16">
        <v>0</v>
      </c>
      <c r="F9" s="16">
        <v>1551144.8</v>
      </c>
      <c r="G9" s="17">
        <v>1170161.2</v>
      </c>
      <c r="H9" s="18"/>
      <c r="I9" s="18" t="s">
        <v>199</v>
      </c>
      <c r="J9" s="17">
        <v>1423068.62385321</v>
      </c>
      <c r="K9" s="17">
        <v>2995933.21100917</v>
      </c>
      <c r="L9" s="17">
        <f t="shared" si="0"/>
        <v>299593.321100917</v>
      </c>
      <c r="M9" s="17">
        <v>1572864.59</v>
      </c>
      <c r="N9" s="19">
        <f>-(321100.92+103569.72)</f>
        <v>-424670.64</v>
      </c>
    </row>
    <row r="10" s="1" customFormat="1" ht="20" customHeight="1" spans="1:14">
      <c r="A10" s="5">
        <v>14</v>
      </c>
      <c r="B10" s="14" t="s">
        <v>434</v>
      </c>
      <c r="C10" s="15">
        <v>2913200</v>
      </c>
      <c r="D10" s="16">
        <v>1736740</v>
      </c>
      <c r="E10" s="16">
        <v>0</v>
      </c>
      <c r="F10" s="16">
        <v>1736740</v>
      </c>
      <c r="G10" s="17">
        <v>1176460</v>
      </c>
      <c r="H10" s="18"/>
      <c r="I10" s="18" t="s">
        <v>199</v>
      </c>
      <c r="J10" s="17">
        <v>1593339.44954128</v>
      </c>
      <c r="K10" s="17">
        <v>3207192.66055046</v>
      </c>
      <c r="L10" s="17">
        <f t="shared" si="0"/>
        <v>320719.266055046</v>
      </c>
      <c r="M10" s="17">
        <v>1613853.21</v>
      </c>
      <c r="N10" s="19">
        <v>-927811.01</v>
      </c>
    </row>
    <row r="11" s="1" customFormat="1" ht="20" customHeight="1" spans="1:14">
      <c r="A11" s="5">
        <v>18</v>
      </c>
      <c r="B11" s="14" t="s">
        <v>435</v>
      </c>
      <c r="C11" s="15">
        <v>1039172.5</v>
      </c>
      <c r="D11" s="16">
        <v>675461.25</v>
      </c>
      <c r="E11" s="16">
        <v>0</v>
      </c>
      <c r="F11" s="16">
        <v>675461.25</v>
      </c>
      <c r="G11" s="17">
        <v>363711.25</v>
      </c>
      <c r="H11" s="18"/>
      <c r="I11" s="18" t="s">
        <v>199</v>
      </c>
      <c r="J11" s="17">
        <v>619689.220183486</v>
      </c>
      <c r="K11" s="17">
        <v>1144043.11926606</v>
      </c>
      <c r="L11" s="17">
        <f t="shared" si="0"/>
        <v>114404.311926606</v>
      </c>
      <c r="M11" s="17">
        <v>524353.9</v>
      </c>
      <c r="N11" s="19">
        <v>-61948.62</v>
      </c>
    </row>
    <row r="12" s="1" customFormat="1" ht="20" customHeight="1" spans="1:14">
      <c r="A12" s="5">
        <v>22</v>
      </c>
      <c r="B12" s="22" t="s">
        <v>436</v>
      </c>
      <c r="C12" s="15">
        <v>350000</v>
      </c>
      <c r="D12" s="16">
        <v>175000</v>
      </c>
      <c r="E12" s="16"/>
      <c r="F12" s="16">
        <v>175000</v>
      </c>
      <c r="G12" s="17">
        <v>175000</v>
      </c>
      <c r="H12" s="18"/>
      <c r="I12" s="18" t="s">
        <v>199</v>
      </c>
      <c r="J12" s="17">
        <v>160550.458715596</v>
      </c>
      <c r="K12" s="17">
        <v>353211.009174312</v>
      </c>
      <c r="L12" s="17">
        <f t="shared" si="0"/>
        <v>35321.1009174312</v>
      </c>
      <c r="M12" s="17">
        <v>192660.55</v>
      </c>
      <c r="N12" s="19"/>
    </row>
    <row r="13" s="1" customFormat="1" ht="20" customHeight="1" spans="1:14">
      <c r="A13" s="5">
        <v>23</v>
      </c>
      <c r="B13" s="218" t="s">
        <v>437</v>
      </c>
      <c r="C13" s="15">
        <v>6660000</v>
      </c>
      <c r="D13" s="16">
        <v>3307780</v>
      </c>
      <c r="E13" s="16">
        <v>0</v>
      </c>
      <c r="F13" s="16">
        <v>3307780</v>
      </c>
      <c r="G13" s="17">
        <v>3352220</v>
      </c>
      <c r="H13" s="18"/>
      <c r="I13" s="18" t="s">
        <v>199</v>
      </c>
      <c r="J13" s="17">
        <v>3034660.55045872</v>
      </c>
      <c r="K13" s="17">
        <v>7332110.09174312</v>
      </c>
      <c r="L13" s="17">
        <v>0</v>
      </c>
      <c r="M13" s="21">
        <v>4297449.54</v>
      </c>
      <c r="N13" s="19">
        <v>-582298.17</v>
      </c>
    </row>
    <row r="14" s="1" customFormat="1" ht="20" customHeight="1" spans="1:14">
      <c r="A14" s="5">
        <v>28</v>
      </c>
      <c r="B14" s="22" t="s">
        <v>438</v>
      </c>
      <c r="C14" s="15">
        <v>1400000</v>
      </c>
      <c r="D14" s="16">
        <v>699999.79</v>
      </c>
      <c r="E14" s="16">
        <v>0</v>
      </c>
      <c r="F14" s="16">
        <v>699999.79</v>
      </c>
      <c r="G14" s="17">
        <v>700000.21</v>
      </c>
      <c r="H14" s="18"/>
      <c r="I14" s="18" t="s">
        <v>199</v>
      </c>
      <c r="J14" s="17">
        <v>642201.642201835</v>
      </c>
      <c r="K14" s="17">
        <v>1541284.40366972</v>
      </c>
      <c r="L14" s="17">
        <f t="shared" si="0"/>
        <v>154128.440366972</v>
      </c>
      <c r="M14" s="17">
        <v>899082.76</v>
      </c>
      <c r="N14" s="19">
        <v>-122018.35</v>
      </c>
    </row>
    <row r="15" s="1" customFormat="1" ht="20" customHeight="1" spans="1:14">
      <c r="A15" s="5">
        <v>29</v>
      </c>
      <c r="B15" s="22" t="s">
        <v>439</v>
      </c>
      <c r="C15" s="15">
        <v>5500000</v>
      </c>
      <c r="D15" s="16">
        <v>2991935</v>
      </c>
      <c r="E15" s="16">
        <v>495946</v>
      </c>
      <c r="F15" s="16">
        <v>3487881</v>
      </c>
      <c r="G15" s="17">
        <v>2012119</v>
      </c>
      <c r="H15" s="18"/>
      <c r="I15" s="18" t="s">
        <v>199</v>
      </c>
      <c r="J15" s="17">
        <v>3199890.82568807</v>
      </c>
      <c r="K15" s="17">
        <v>6055045.87155963</v>
      </c>
      <c r="L15" s="17">
        <f t="shared" si="0"/>
        <v>605504.587155963</v>
      </c>
      <c r="M15" s="17">
        <v>2855155.05</v>
      </c>
      <c r="N15" s="19">
        <f>-536977.43-471848.62</f>
        <v>-1008826.05</v>
      </c>
    </row>
    <row r="16" s="1" customFormat="1" ht="20" customHeight="1" spans="1:14">
      <c r="A16" s="5">
        <v>31</v>
      </c>
      <c r="B16" s="22" t="s">
        <v>440</v>
      </c>
      <c r="C16" s="15">
        <v>2150000</v>
      </c>
      <c r="D16" s="16">
        <v>1179722</v>
      </c>
      <c r="E16" s="16">
        <v>449110</v>
      </c>
      <c r="F16" s="16">
        <v>1628832</v>
      </c>
      <c r="G16" s="17">
        <v>521168</v>
      </c>
      <c r="H16" s="18"/>
      <c r="I16" s="18" t="s">
        <v>199</v>
      </c>
      <c r="J16" s="17">
        <v>1494341.28440367</v>
      </c>
      <c r="K16" s="17">
        <v>2366972.47706422</v>
      </c>
      <c r="L16" s="17">
        <v>0</v>
      </c>
      <c r="M16" s="21">
        <v>872631.19</v>
      </c>
      <c r="N16" s="19">
        <v>-233707.34</v>
      </c>
    </row>
    <row r="17" s="1" customFormat="1" ht="20" customHeight="1" spans="1:14">
      <c r="A17" s="5">
        <v>33</v>
      </c>
      <c r="B17" s="22" t="s">
        <v>441</v>
      </c>
      <c r="C17" s="15">
        <v>1667613</v>
      </c>
      <c r="D17" s="16">
        <v>1149200</v>
      </c>
      <c r="E17" s="16">
        <v>0</v>
      </c>
      <c r="F17" s="16">
        <v>1149200</v>
      </c>
      <c r="G17" s="17">
        <v>518413</v>
      </c>
      <c r="H17" s="18"/>
      <c r="I17" s="18" t="s">
        <v>199</v>
      </c>
      <c r="J17" s="17">
        <v>1054311.9266055</v>
      </c>
      <c r="K17" s="17">
        <v>1835904.22018349</v>
      </c>
      <c r="L17" s="17">
        <f t="shared" si="0"/>
        <v>183590.422018349</v>
      </c>
      <c r="M17" s="17">
        <v>781592.29</v>
      </c>
      <c r="N17" s="19">
        <f>-(123726.61+305984.15)</f>
        <v>-429710.76</v>
      </c>
    </row>
    <row r="18" s="1" customFormat="1" ht="20" customHeight="1" spans="1:14">
      <c r="A18" s="5">
        <v>35</v>
      </c>
      <c r="B18" s="22" t="s">
        <v>442</v>
      </c>
      <c r="C18" s="15">
        <v>2335877</v>
      </c>
      <c r="D18" s="16">
        <v>1245992</v>
      </c>
      <c r="E18" s="16">
        <v>0</v>
      </c>
      <c r="F18" s="16">
        <v>1245992</v>
      </c>
      <c r="G18" s="17">
        <v>1089885</v>
      </c>
      <c r="H18" s="18"/>
      <c r="I18" s="18" t="s">
        <v>199</v>
      </c>
      <c r="J18" s="17">
        <v>1143111.9266055</v>
      </c>
      <c r="K18" s="17">
        <v>2571607.70642202</v>
      </c>
      <c r="L18" s="17">
        <f t="shared" si="0"/>
        <v>257160.770642202</v>
      </c>
      <c r="M18" s="17">
        <v>1428495.78</v>
      </c>
      <c r="N18" s="19"/>
    </row>
    <row r="19" s="1" customFormat="1" ht="20" customHeight="1" spans="1:14">
      <c r="A19" s="5">
        <v>36</v>
      </c>
      <c r="B19" s="22" t="s">
        <v>443</v>
      </c>
      <c r="C19" s="15">
        <v>2364289</v>
      </c>
      <c r="D19" s="16">
        <v>1342442</v>
      </c>
      <c r="E19" s="16">
        <v>709287</v>
      </c>
      <c r="F19" s="16">
        <v>2051729</v>
      </c>
      <c r="G19" s="17">
        <v>312560</v>
      </c>
      <c r="H19" s="18"/>
      <c r="I19" s="18" t="s">
        <v>199</v>
      </c>
      <c r="J19" s="17">
        <v>1882320.18348624</v>
      </c>
      <c r="K19" s="17">
        <v>2602886.97247706</v>
      </c>
      <c r="L19" s="17">
        <f t="shared" si="0"/>
        <v>260288.697247706</v>
      </c>
      <c r="M19" s="17">
        <v>720566.79</v>
      </c>
      <c r="N19" s="19"/>
    </row>
    <row r="20" s="1" customFormat="1" ht="20" customHeight="1" spans="1:14">
      <c r="A20" s="5">
        <v>37</v>
      </c>
      <c r="B20" s="218" t="s">
        <v>444</v>
      </c>
      <c r="C20" s="15">
        <v>3738000</v>
      </c>
      <c r="D20" s="16">
        <v>3551100</v>
      </c>
      <c r="E20" s="16">
        <v>0</v>
      </c>
      <c r="F20" s="16">
        <v>3551100</v>
      </c>
      <c r="G20" s="17">
        <v>186900</v>
      </c>
      <c r="H20" s="18"/>
      <c r="I20" s="18" t="s">
        <v>199</v>
      </c>
      <c r="J20" s="17">
        <v>3257889.90825688</v>
      </c>
      <c r="K20" s="17">
        <v>4115229.35779816</v>
      </c>
      <c r="L20" s="17">
        <v>0</v>
      </c>
      <c r="M20" s="21">
        <v>857339.45</v>
      </c>
      <c r="N20" s="19"/>
    </row>
    <row r="21" s="1" customFormat="1" ht="20" customHeight="1" spans="1:14">
      <c r="A21" s="5"/>
      <c r="B21" s="23" t="s">
        <v>445</v>
      </c>
      <c r="C21" s="24" t="s">
        <v>446</v>
      </c>
      <c r="D21" s="16"/>
      <c r="E21" s="16"/>
      <c r="F21" s="16"/>
      <c r="G21" s="17"/>
      <c r="H21" s="18"/>
      <c r="I21" s="18"/>
      <c r="J21" s="18"/>
      <c r="K21" s="18"/>
      <c r="L21" s="18"/>
      <c r="M21" s="18"/>
      <c r="N21" s="19">
        <v>-30957.48</v>
      </c>
    </row>
    <row r="22" s="1" customFormat="1" ht="20" customHeight="1" spans="1:14">
      <c r="A22" s="5"/>
      <c r="B22" s="22" t="s">
        <v>447</v>
      </c>
      <c r="C22" s="25" t="s">
        <v>446</v>
      </c>
      <c r="D22" s="16"/>
      <c r="E22" s="16"/>
      <c r="F22" s="16"/>
      <c r="G22" s="17"/>
      <c r="H22" s="18"/>
      <c r="I22" s="18"/>
      <c r="J22" s="18"/>
      <c r="K22" s="18"/>
      <c r="L22" s="18"/>
      <c r="M22" s="18"/>
      <c r="N22" s="19">
        <v>-172529.36</v>
      </c>
    </row>
    <row r="23" s="1" customFormat="1" ht="20" customHeight="1" spans="1:14">
      <c r="A23" s="5"/>
      <c r="B23" s="18" t="s">
        <v>448</v>
      </c>
      <c r="C23" s="26" t="s">
        <v>446</v>
      </c>
      <c r="D23" s="16"/>
      <c r="E23" s="16"/>
      <c r="F23" s="16"/>
      <c r="G23" s="17"/>
      <c r="H23" s="18"/>
      <c r="I23" s="18"/>
      <c r="J23" s="18"/>
      <c r="K23" s="18"/>
      <c r="L23" s="18"/>
      <c r="M23" s="18"/>
      <c r="N23" s="19">
        <v>-95648.39</v>
      </c>
    </row>
    <row r="24" s="1" customFormat="1" ht="20" customHeight="1" spans="1:14">
      <c r="A24" s="5"/>
      <c r="B24" s="18" t="s">
        <v>449</v>
      </c>
      <c r="C24" s="26" t="s">
        <v>446</v>
      </c>
      <c r="D24" s="16"/>
      <c r="E24" s="16"/>
      <c r="F24" s="16"/>
      <c r="G24" s="17"/>
      <c r="H24" s="18"/>
      <c r="I24" s="18"/>
      <c r="J24" s="18"/>
      <c r="K24" s="18"/>
      <c r="L24" s="18"/>
      <c r="M24" s="18"/>
      <c r="N24" s="19">
        <v>-14757.8</v>
      </c>
    </row>
    <row r="25" s="1" customFormat="1" ht="20" customHeight="1" spans="1:14">
      <c r="A25" s="5"/>
      <c r="B25" s="18" t="s">
        <v>450</v>
      </c>
      <c r="C25" s="26" t="s">
        <v>446</v>
      </c>
      <c r="D25" s="16"/>
      <c r="E25" s="16"/>
      <c r="F25" s="16"/>
      <c r="G25" s="17"/>
      <c r="H25" s="18"/>
      <c r="I25" s="18"/>
      <c r="J25" s="18"/>
      <c r="K25" s="18"/>
      <c r="L25" s="18"/>
      <c r="M25" s="18"/>
      <c r="N25" s="19">
        <v>-7110.09</v>
      </c>
    </row>
    <row r="26" s="1" customFormat="1" ht="20" customHeight="1" spans="1:14">
      <c r="A26" s="5"/>
      <c r="B26" s="18" t="s">
        <v>451</v>
      </c>
      <c r="C26" s="26" t="s">
        <v>446</v>
      </c>
      <c r="D26" s="16"/>
      <c r="E26" s="16"/>
      <c r="F26" s="16"/>
      <c r="G26" s="17"/>
      <c r="H26" s="18"/>
      <c r="I26" s="18"/>
      <c r="J26" s="18"/>
      <c r="K26" s="18"/>
      <c r="L26" s="18"/>
      <c r="M26" s="18"/>
      <c r="N26" s="19">
        <v>-59155.96</v>
      </c>
    </row>
    <row r="27" s="1" customFormat="1" ht="20" customHeight="1" spans="1:14">
      <c r="A27" s="5"/>
      <c r="B27" s="18"/>
      <c r="C27" s="16"/>
      <c r="D27" s="16"/>
      <c r="E27" s="16"/>
      <c r="F27" s="16"/>
      <c r="G27" s="17"/>
      <c r="H27" s="18"/>
      <c r="I27" s="18"/>
      <c r="J27" s="18"/>
      <c r="K27" s="18"/>
      <c r="L27" s="18"/>
      <c r="M27" s="18">
        <f>SUM(M3:M26)</f>
        <v>74468409.15</v>
      </c>
      <c r="N27" s="19">
        <f>SUM(N3:N26)</f>
        <v>-9881839.66</v>
      </c>
    </row>
    <row r="28" s="4" customFormat="1" customHeight="1" spans="1:14">
      <c r="L28" s="27"/>
      <c r="M28" s="28"/>
    </row>
    <row r="29" s="4" customFormat="1" customHeight="1" spans="1:14">
      <c r="N29" s="4">
        <f>N27+'[2]2024.12.31预提开发成本（与二分公司合同）-已红冲明细'!L40</f>
        <v>-13225217.04</v>
      </c>
    </row>
    <row r="30" s="4" customFormat="1" customHeight="1" spans="1:14">
      <c r="L30" s="27"/>
      <c r="M30" s="29">
        <f>M27+'[2]2024.12.31预提开发成本（与二分公司合同）-已红冲明细'!W21+'[2]2024.12.31预提开发成本（与二分公司合同）-已红冲明细'!I29+22000000</f>
        <v>101177820.46</v>
      </c>
      <c r="N30" s="30"/>
    </row>
    <row r="31" s="4" customFormat="1" customHeight="1" spans="1:14">
      <c r="L31" s="27"/>
      <c r="M31" s="30">
        <v>-68923067.37</v>
      </c>
    </row>
    <row r="32" s="4" customFormat="1" customHeight="1" spans="1:14">
      <c r="M32" s="4">
        <f>M30+M31</f>
        <v>32254753.09</v>
      </c>
    </row>
    <row r="33" s="4" customFormat="1" customHeight="1" spans="12:13">
      <c r="M33" s="4">
        <f>N27+'[2]2024.12.31预提开发成本（与二分公司合同）-已红冲明细'!L40</f>
        <v>-13225217.04</v>
      </c>
    </row>
    <row r="34" s="4" customFormat="1" customHeight="1" spans="12:13">
      <c r="L34" s="27"/>
      <c r="M34" s="30">
        <f>M32+M33</f>
        <v>19029536.05</v>
      </c>
    </row>
  </sheetData>
  <hyperlinks>
    <hyperlink ref="B4" location="杜奇志项目!A1" display="画堂春锦苑17、18#楼商业展示区园林景观工程（杜奇志）"/>
    <hyperlink ref="B5" location="高建立项目!A1" display="画堂春锦苑9、11、13#楼及地下车库工程建设工程"/>
    <hyperlink ref="B6" location="'画堂春锦苑17#、18#楼外墙装饰工程（刘品全）'!A1" display="画堂春锦苑17#、18#楼外墙装饰工程（刘品全）"/>
    <hyperlink ref="B3" location="杜奇志项目!A1" display="画堂春锦苑10、12、14、15、17、18#建设工程"/>
    <hyperlink ref="B7" location="画堂春锦苑项目一期、二期消防!A1" display="画堂春锦苑一期消防工程（建邦消防 巩红卫）"/>
    <hyperlink ref="B8" location="'郑长银 坚乐美'!A1" display="画堂春锦苑13、14、15、17、18#楼铝合金门窗制作安装工程"/>
    <hyperlink ref="B9" location="'郑长银 坚乐美'!A1" display="画堂春锦苑9#10#11#12#楼铝合金门窗制作安装工程"/>
    <hyperlink ref="B10" location="'新疆华汇 电梯'!A1" display="画堂春锦9-12#楼、13、14、17#商业楼电梯供货及安装工程"/>
    <hyperlink ref="B11" location="'画堂一期防火门、防盗门 永绍防火门'!A1" display="画堂春锦苑一期9#-12#、13#-15#17#18#、非人防车库 防火门、防盗门供货及安装（施 ）"/>
    <hyperlink ref="B12" location="画堂春锦苑展示区水景改造工程!A1" display="画堂春锦苑展示区水景改造工程!A1"/>
    <hyperlink ref="B13" location="'画堂春锦苑一期变配电（正式用电）工程'!A1" display="画堂春锦苑一期变配电（正式用电）工程'!A1"/>
    <hyperlink ref="B14" location="杜奇志项目!A1" display="画堂春锦一期（9#-12#住宅楼13#-15#17#18#商业楼）室外管网（杜奇志）"/>
    <hyperlink ref="B15" location="杜奇志项目!A1" display="画堂春锦一期园林景观（杜奇志）"/>
    <hyperlink ref="B16" location="画堂春锦苑小区一期公共部位及门斗内装修工程!A1" display="画堂春锦苑小区一期公共部位及门斗内装修工程!A1"/>
    <hyperlink ref="B17" location="'画堂春锦苑一期直梯、门斗、雨棚、连廊 外饰面装修 铝板'!A1" display="画堂春锦苑一期直梯、门斗、雨棚、连廊 外饰面装修 铝板（江通海）"/>
    <hyperlink ref="B20" location="'画堂春锦苑项目一期机械车位设备采购与安装（大洋泊车）'!A1" display="画堂春锦苑项目一期机械车位设备采购与安装（大洋泊车）'!A1"/>
    <hyperlink ref="B19" location="倪大伟项目!A1" display="画堂春锦苑项目一期14#楼外墙装修工程（倪大伟）"/>
    <hyperlink ref="B18" location="画堂春锦苑小区一期公共部位及门斗内装修工程!A1" display="画堂春锦苑项目一期13#15#楼外墙装修工程（金克）"/>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与通力股份合同总计 (2)</vt:lpstr>
      <vt:lpstr>二期建安合同明细</vt:lpstr>
      <vt:lpstr>与通力股份合同总计 (3)</vt:lpstr>
      <vt:lpstr>一期二期面积统计</vt:lpstr>
      <vt:lpstr>二期税代单方面积核算</vt:lpstr>
      <vt:lpstr>二期开发成本凭证明细</vt:lpstr>
      <vt:lpstr>一期税代单方面积核算</vt:lpstr>
      <vt:lpstr>一期、二期片区合同汇总</vt:lpstr>
      <vt:lpstr>一期暂估74468409.15明细表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WPS_1567389243</cp:lastModifiedBy>
  <dcterms:created xsi:type="dcterms:W3CDTF">2023-05-12T11:15:00Z</dcterms:created>
  <dcterms:modified xsi:type="dcterms:W3CDTF">2026-05-25T02:55:25Z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AB097AEB969541F1A2C151AC5E269F90_12</vt:lpwstr>
  </property>
  <property fmtid="{D5CDD505-2E9C-101B-9397-08002B2CF9AE}" pid="4" name="CalculationRule">
    <vt:i4>0</vt:i4>
  </property>
</Properties>
</file>