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阿克苏通力\税金\8月\"/>
    </mc:Choice>
  </mc:AlternateContent>
  <bookViews>
    <workbookView windowWidth="23040" windowHeight="10055" activeTab="7"/>
  </bookViews>
  <sheets>
    <sheet name="1月" sheetId="1" r:id="rId1"/>
    <sheet name="3月" sheetId="2" r:id="rId2"/>
    <sheet name="4月" sheetId="5" r:id="rId3"/>
    <sheet name="Sheet1" sheetId="3" r:id="rId4"/>
    <sheet name="5月" sheetId="7" r:id="rId5"/>
    <sheet name="6月" sheetId="8" r:id="rId6"/>
    <sheet name="7月" sheetId="9" r:id="rId7"/>
    <sheet name="8月" sheetId="10" r:id="rId8"/>
  </sheets>
  <externalReferences>
    <externalReference r:id="rId9"/>
    <externalReference r:id="rId10"/>
    <externalReference r:id="rId11"/>
  </externalReferences>
  <definedNames>
    <definedName name="_xlnm.Print_Area" localSheetId="7">'8月'!$A$1:$S$16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二哈哈</author>
  </authors>
  <commentList>
    <comment ref="F15" authorId="0">
      <text>
        <r>
          <rPr>
            <b/>
            <sz val="9"/>
            <rFont val="宋体"/>
            <charset val="134"/>
          </rPr>
          <t>二哈哈:</t>
        </r>
        <r>
          <rPr>
            <sz val="9"/>
            <rFont val="宋体"/>
            <charset val="134"/>
          </rPr>
          <t xml:space="preserve">
已申报未开票收入</t>
        </r>
      </text>
    </comment>
  </commentList>
</comments>
</file>

<file path=xl/comments2.xml><?xml version="1.0" encoding="utf-8"?>
<comments xmlns="http://schemas.openxmlformats.org/spreadsheetml/2006/main">
  <authors>
    <author>二哈哈</author>
  </authors>
  <commentList>
    <comment ref="F15" authorId="0">
      <text>
        <r>
          <rPr>
            <b/>
            <sz val="9"/>
            <rFont val="宋体"/>
            <charset val="134"/>
          </rPr>
          <t>二哈哈:</t>
        </r>
        <r>
          <rPr>
            <sz val="9"/>
            <rFont val="宋体"/>
            <charset val="134"/>
          </rPr>
          <t xml:space="preserve">
已申报未开票收入</t>
        </r>
      </text>
    </comment>
  </commentList>
</comments>
</file>

<file path=xl/comments3.xml><?xml version="1.0" encoding="utf-8"?>
<comments xmlns="http://schemas.openxmlformats.org/spreadsheetml/2006/main">
  <authors>
    <author>二哈哈</author>
  </authors>
  <commentList>
    <comment ref="F15" authorId="0">
      <text>
        <r>
          <rPr>
            <b/>
            <sz val="9"/>
            <rFont val="宋体"/>
            <charset val="134"/>
          </rPr>
          <t>二哈哈:</t>
        </r>
        <r>
          <rPr>
            <sz val="9"/>
            <rFont val="宋体"/>
            <charset val="134"/>
          </rPr>
          <t xml:space="preserve">
已申报未开票收入</t>
        </r>
      </text>
    </comment>
  </commentList>
</comments>
</file>

<file path=xl/comments4.xml><?xml version="1.0" encoding="utf-8"?>
<comments xmlns="http://schemas.openxmlformats.org/spreadsheetml/2006/main">
  <authors>
    <author>二哈哈</author>
  </authors>
  <commentList>
    <comment ref="F15" authorId="0">
      <text>
        <r>
          <rPr>
            <b/>
            <sz val="9"/>
            <rFont val="宋体"/>
            <charset val="134"/>
          </rPr>
          <t>二哈哈:</t>
        </r>
        <r>
          <rPr>
            <sz val="9"/>
            <rFont val="宋体"/>
            <charset val="134"/>
          </rPr>
          <t xml:space="preserve">
已申报未开票收入</t>
        </r>
      </text>
    </comment>
  </commentList>
</comments>
</file>

<file path=xl/comments5.xml><?xml version="1.0" encoding="utf-8"?>
<comments xmlns="http://schemas.openxmlformats.org/spreadsheetml/2006/main">
  <authors>
    <author>二哈哈</author>
  </authors>
  <commentList>
    <comment ref="F15" authorId="0">
      <text>
        <r>
          <rPr>
            <b/>
            <sz val="9"/>
            <rFont val="宋体"/>
            <charset val="134"/>
          </rPr>
          <t>二哈哈:</t>
        </r>
        <r>
          <rPr>
            <sz val="9"/>
            <rFont val="宋体"/>
            <charset val="134"/>
          </rPr>
          <t xml:space="preserve">
已申报未开票收入</t>
        </r>
      </text>
    </comment>
  </commentList>
</comments>
</file>

<file path=xl/sharedStrings.xml><?xml version="1.0" encoding="utf-8"?>
<sst xmlns="http://schemas.openxmlformats.org/spreadsheetml/2006/main" count="571" uniqueCount="111">
  <si>
    <t>阿克苏通力2026年1月税金计提明细</t>
  </si>
  <si>
    <t>项目</t>
  </si>
  <si>
    <t>收入明细</t>
  </si>
  <si>
    <t>开票收入</t>
  </si>
  <si>
    <t>未开票收入</t>
  </si>
  <si>
    <t>税收收入</t>
  </si>
  <si>
    <t>增值税</t>
  </si>
  <si>
    <t>城建税</t>
  </si>
  <si>
    <t>教育附加</t>
  </si>
  <si>
    <t>地方教育附加</t>
  </si>
  <si>
    <t>印花税</t>
  </si>
  <si>
    <t>土地增值税</t>
  </si>
  <si>
    <t>房产税（从租）</t>
  </si>
  <si>
    <t>房产税（从价）</t>
  </si>
  <si>
    <t>土地使用税</t>
  </si>
  <si>
    <t>个人所得税</t>
  </si>
  <si>
    <t>企业所得税</t>
  </si>
  <si>
    <t>工会经费</t>
  </si>
  <si>
    <t>残保金</t>
  </si>
  <si>
    <t>合计</t>
  </si>
  <si>
    <t>多浪小镇</t>
  </si>
  <si>
    <t>普通住宅</t>
  </si>
  <si>
    <t>非普通住宅商铺</t>
  </si>
  <si>
    <t>地下室、车库（其他）</t>
  </si>
  <si>
    <t>康泰公寓</t>
  </si>
  <si>
    <t>租赁</t>
  </si>
  <si>
    <t>所得税</t>
  </si>
  <si>
    <t>汇算清缴</t>
  </si>
  <si>
    <t>个税手续费返还</t>
  </si>
  <si>
    <t>减免</t>
  </si>
  <si>
    <t>银行业务凭证是否取得</t>
  </si>
  <si>
    <t>银行电子回单</t>
  </si>
  <si>
    <t>阿克苏通力2026年3月税金计提明细</t>
  </si>
  <si>
    <t>果园</t>
  </si>
  <si>
    <t>阿克苏交纳土地使用税明细</t>
  </si>
  <si>
    <t>序号</t>
  </si>
  <si>
    <t>地块</t>
  </si>
  <si>
    <t>土地证面积</t>
  </si>
  <si>
    <t>建设用地批准书面积</t>
  </si>
  <si>
    <t>剩余未售建筑面积</t>
  </si>
  <si>
    <t>容积率</t>
  </si>
  <si>
    <t>土地占用面积</t>
  </si>
  <si>
    <t>土地等级</t>
  </si>
  <si>
    <t>单价(元)</t>
  </si>
  <si>
    <t>金额(元)</t>
  </si>
  <si>
    <t>3月份应交</t>
  </si>
  <si>
    <t>地号</t>
  </si>
  <si>
    <t>土地证号</t>
  </si>
  <si>
    <t>备注</t>
  </si>
  <si>
    <t>多浪小镇A区</t>
  </si>
  <si>
    <t>三级</t>
  </si>
  <si>
    <t>31-02-359</t>
  </si>
  <si>
    <t>阿市国用(2013)第84748号</t>
  </si>
  <si>
    <t>土地证</t>
  </si>
  <si>
    <t>14-04-013</t>
  </si>
  <si>
    <t>阿市国用(2013)第84749号</t>
  </si>
  <si>
    <t>新（2024）阿克苏市不动产权第0003121号</t>
  </si>
  <si>
    <t>不动产权证</t>
  </si>
  <si>
    <t>房产税</t>
  </si>
  <si>
    <t>类型</t>
  </si>
  <si>
    <t>建筑面积</t>
  </si>
  <si>
    <t>计税依据</t>
  </si>
  <si>
    <t>税率</t>
  </si>
  <si>
    <t>应交税金</t>
  </si>
  <si>
    <t>单方成本</t>
  </si>
  <si>
    <t>10月份应交</t>
  </si>
  <si>
    <t>房产原值</t>
  </si>
  <si>
    <t>不含税金额</t>
  </si>
  <si>
    <t>从租</t>
  </si>
  <si>
    <t>多浪小镇A2-110</t>
  </si>
  <si>
    <r>
      <rPr>
        <sz val="10"/>
        <color theme="1"/>
        <rFont val="宋体"/>
        <charset val="134"/>
      </rPr>
      <t>杭州大道长沙路</t>
    </r>
    <r>
      <rPr>
        <sz val="10"/>
        <color theme="1"/>
        <rFont val="PingFang SC"/>
        <charset val="134"/>
      </rPr>
      <t>2</t>
    </r>
    <r>
      <rPr>
        <sz val="10"/>
        <color theme="1"/>
        <rFont val="宋体"/>
        <charset val="134"/>
      </rPr>
      <t>号多浪小镇</t>
    </r>
    <r>
      <rPr>
        <sz val="10"/>
        <color theme="1"/>
        <rFont val="PingFang SC"/>
        <charset val="134"/>
      </rPr>
      <t>A</t>
    </r>
    <r>
      <rPr>
        <sz val="10"/>
        <color theme="1"/>
        <rFont val="宋体"/>
        <charset val="134"/>
      </rPr>
      <t>区</t>
    </r>
  </si>
  <si>
    <t>多浪小镇A2-115</t>
  </si>
  <si>
    <t>多浪小镇A4-126</t>
  </si>
  <si>
    <r>
      <rPr>
        <sz val="10"/>
        <rFont val="宋体"/>
        <charset val="0"/>
      </rPr>
      <t>多浪小镇</t>
    </r>
    <r>
      <rPr>
        <sz val="10"/>
        <rFont val="Times New Roman"/>
        <charset val="0"/>
      </rPr>
      <t>A5-110</t>
    </r>
  </si>
  <si>
    <r>
      <rPr>
        <sz val="10"/>
        <rFont val="宋体"/>
        <charset val="0"/>
      </rPr>
      <t>多浪小镇</t>
    </r>
    <r>
      <rPr>
        <sz val="10"/>
        <rFont val="Times New Roman"/>
        <charset val="0"/>
      </rPr>
      <t>A5-114</t>
    </r>
  </si>
  <si>
    <r>
      <rPr>
        <sz val="10"/>
        <rFont val="Times New Roman"/>
        <charset val="0"/>
      </rPr>
      <t>多浪小镇</t>
    </r>
    <r>
      <rPr>
        <sz val="10"/>
        <rFont val="Times New Roman"/>
        <charset val="0"/>
      </rPr>
      <t>A5-115</t>
    </r>
  </si>
  <si>
    <t>多浪小镇A4-112</t>
  </si>
  <si>
    <t>多浪小镇A4-117</t>
  </si>
  <si>
    <t>乌喀路南侧康泰公寓</t>
  </si>
  <si>
    <t>单价</t>
  </si>
  <si>
    <t>计税依据（原值70%）</t>
  </si>
  <si>
    <t>税金</t>
  </si>
  <si>
    <t>应交</t>
  </si>
  <si>
    <t>从价</t>
  </si>
  <si>
    <t>7-12月</t>
  </si>
  <si>
    <t>合计：</t>
  </si>
  <si>
    <t>税目</t>
  </si>
  <si>
    <t>三季度工资总额</t>
  </si>
  <si>
    <t>应纳税额</t>
  </si>
  <si>
    <t>本期共计缴纳税金：</t>
  </si>
  <si>
    <t>元</t>
  </si>
  <si>
    <t>本年累计金额</t>
  </si>
  <si>
    <t>主营业务收入</t>
  </si>
  <si>
    <t>其他业务收入</t>
  </si>
  <si>
    <t>主营业务成本</t>
  </si>
  <si>
    <t>营业外收入</t>
  </si>
  <si>
    <t>税金及附加</t>
  </si>
  <si>
    <t>销售费用</t>
  </si>
  <si>
    <t>管理费用</t>
  </si>
  <si>
    <t>财务费用</t>
  </si>
  <si>
    <t>营业外支出</t>
  </si>
  <si>
    <t>利润总额</t>
  </si>
  <si>
    <t>年度弥补的亏损</t>
  </si>
  <si>
    <t>应纳所得额</t>
  </si>
  <si>
    <t>所得税税率</t>
  </si>
  <si>
    <t>预缴企业所得税</t>
  </si>
  <si>
    <t>本期应交企业所得税</t>
  </si>
  <si>
    <t>阿克苏通力2026年5月税金计提明细</t>
  </si>
  <si>
    <t>阿克苏通力2026年6月税金计提明细</t>
  </si>
  <si>
    <t>阿克苏通力2026年7月税金计提明细</t>
  </si>
  <si>
    <t>阿克苏通力2026年8月税金计提明细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</si>
</sst>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4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9"/>
      <color theme="1"/>
      <name val="Times New Roman"/>
      <charset val="134"/>
    </font>
    <font>
      <sz val="12"/>
      <name val="宋体"/>
      <charset val="134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sz val="11"/>
      <name val="宋体"/>
      <charset val="0"/>
    </font>
    <font>
      <sz val="10"/>
      <name val="宋体"/>
      <charset val="0"/>
    </font>
    <font>
      <sz val="10"/>
      <color theme="1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1"/>
      <color rgb="FF000000"/>
      <name val="宋体"/>
      <charset val="0"/>
    </font>
    <font>
      <sz val="11"/>
      <color rgb="FF000000"/>
      <name val="宋体"/>
      <charset val="0"/>
    </font>
    <font>
      <sz val="10"/>
      <color rgb="FF000000"/>
      <name val="宋体"/>
      <charset val="134"/>
    </font>
    <font>
      <sz val="11"/>
      <name val="宋体"/>
      <charset val="1"/>
    </font>
    <font>
      <sz val="10.5"/>
      <color theme="1"/>
      <name val="PingFang SC"/>
      <charset val="134"/>
    </font>
    <font>
      <b/>
      <sz val="10.5"/>
      <color rgb="FF111F2C"/>
      <name val="微软雅黑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PingFang SC"/>
      <charset val="134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DCDCD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7" borderId="15" applyNumberFormat="0" applyAlignment="0" applyProtection="0">
      <alignment vertical="center"/>
    </xf>
    <xf numFmtId="0" fontId="35" fillId="8" borderId="16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7" fillId="9" borderId="17" applyNumberFormat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21" fillId="0" borderId="0">
      <alignment vertical="top"/>
      <protection locked="0"/>
    </xf>
  </cellStyleXfs>
  <cellXfs count="101">
    <xf numFmtId="0" fontId="0" fillId="0" borderId="0" xfId="0">
      <alignment vertical="center"/>
    </xf>
    <xf numFmtId="0" fontId="0" fillId="0" borderId="0" xfId="0" applyFont="1" applyFill="1" applyAlignment="1">
      <alignment vertical="center" shrinkToFit="1"/>
    </xf>
    <xf numFmtId="0" fontId="1" fillId="0" borderId="0" xfId="0" applyFont="1" applyFill="1" applyAlignment="1">
      <alignment vertical="center" wrapText="1" shrinkToFit="1"/>
    </xf>
    <xf numFmtId="0" fontId="1" fillId="0" borderId="0" xfId="0" applyFont="1" applyFill="1" applyAlignment="1">
      <alignment vertical="center" shrinkToFit="1"/>
    </xf>
    <xf numFmtId="0" fontId="0" fillId="0" borderId="0" xfId="0" applyFill="1" applyBorder="1" applyAlignment="1">
      <alignment vertical="center"/>
    </xf>
    <xf numFmtId="43" fontId="2" fillId="0" borderId="0" xfId="1" applyFont="1" applyFill="1" applyAlignment="1">
      <alignment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vertical="center" shrinkToFit="1"/>
    </xf>
    <xf numFmtId="43" fontId="1" fillId="0" borderId="2" xfId="0" applyNumberFormat="1" applyFont="1" applyFill="1" applyBorder="1" applyAlignment="1">
      <alignment vertical="center" shrinkToFit="1"/>
    </xf>
    <xf numFmtId="43" fontId="1" fillId="2" borderId="2" xfId="0" applyNumberFormat="1" applyFont="1" applyFill="1" applyBorder="1" applyAlignment="1">
      <alignment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43" fontId="4" fillId="2" borderId="2" xfId="0" applyNumberFormat="1" applyFont="1" applyFill="1" applyBorder="1" applyAlignment="1">
      <alignment vertical="center" shrinkToFit="1"/>
    </xf>
    <xf numFmtId="176" fontId="1" fillId="0" borderId="0" xfId="0" applyNumberFormat="1" applyFont="1" applyFill="1" applyAlignment="1">
      <alignment vertical="center" shrinkToFit="1"/>
    </xf>
    <xf numFmtId="43" fontId="0" fillId="0" borderId="0" xfId="0" applyNumberFormat="1" applyFont="1" applyFill="1" applyAlignment="1">
      <alignment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43" fontId="0" fillId="0" borderId="2" xfId="0" applyNumberFormat="1" applyFill="1" applyBorder="1" applyAlignment="1">
      <alignment horizontal="center" vertical="center"/>
    </xf>
    <xf numFmtId="43" fontId="0" fillId="0" borderId="2" xfId="0" applyNumberFormat="1" applyFill="1" applyBorder="1" applyAlignment="1">
      <alignment horizontal="right" vertical="center"/>
    </xf>
    <xf numFmtId="43" fontId="0" fillId="0" borderId="2" xfId="0" applyNumberForma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43" fontId="6" fillId="0" borderId="0" xfId="1" applyFont="1" applyFill="1" applyAlignment="1">
      <alignment shrinkToFit="1"/>
    </xf>
    <xf numFmtId="43" fontId="2" fillId="0" borderId="0" xfId="1" applyFont="1" applyFill="1" applyAlignment="1">
      <alignment horizontal="center" shrinkToFit="1"/>
    </xf>
    <xf numFmtId="43" fontId="7" fillId="0" borderId="0" xfId="1" applyFont="1" applyFill="1" applyAlignment="1">
      <alignment horizontal="left" shrinkToFit="1"/>
    </xf>
    <xf numFmtId="43" fontId="2" fillId="0" borderId="0" xfId="1" applyFont="1" applyFill="1" applyAlignment="1">
      <alignment horizontal="right" shrinkToFit="1"/>
    </xf>
    <xf numFmtId="43" fontId="7" fillId="0" borderId="0" xfId="1" applyFont="1" applyFill="1" applyAlignment="1">
      <alignment shrinkToFi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0" fontId="11" fillId="3" borderId="2" xfId="0" applyFont="1" applyFill="1" applyBorder="1" applyAlignment="1" applyProtection="1">
      <alignment horizontal="center" vertical="center"/>
    </xf>
    <xf numFmtId="43" fontId="12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3" fillId="3" borderId="6" xfId="0" applyFont="1" applyFill="1" applyBorder="1" applyAlignment="1" applyProtection="1">
      <alignment horizontal="center" vertical="center"/>
    </xf>
    <xf numFmtId="0" fontId="13" fillId="3" borderId="7" xfId="0" applyFont="1" applyFill="1" applyBorder="1" applyAlignment="1" applyProtection="1">
      <alignment horizontal="center" vertical="center"/>
    </xf>
    <xf numFmtId="0" fontId="13" fillId="3" borderId="8" xfId="0" applyFont="1" applyFill="1" applyBorder="1" applyAlignment="1" applyProtection="1">
      <alignment horizontal="center" vertical="center"/>
    </xf>
    <xf numFmtId="0" fontId="14" fillId="3" borderId="2" xfId="0" applyFont="1" applyFill="1" applyBorder="1" applyAlignment="1" applyProtection="1">
      <alignment horizontal="center" vertical="center"/>
    </xf>
    <xf numFmtId="43" fontId="14" fillId="3" borderId="2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3" fontId="11" fillId="3" borderId="2" xfId="0" applyNumberFormat="1" applyFont="1" applyFill="1" applyBorder="1" applyAlignment="1" applyProtection="1">
      <alignment horizontal="center" vertical="center"/>
    </xf>
    <xf numFmtId="43" fontId="11" fillId="3" borderId="2" xfId="0" applyNumberFormat="1" applyFont="1" applyFill="1" applyBorder="1" applyAlignment="1" applyProtection="1">
      <alignment horizontal="center" vertical="center" wrapText="1"/>
    </xf>
    <xf numFmtId="43" fontId="15" fillId="0" borderId="0" xfId="0" applyNumberFormat="1" applyFont="1" applyAlignment="1">
      <alignment vertical="center"/>
    </xf>
    <xf numFmtId="43" fontId="11" fillId="3" borderId="2" xfId="0" applyNumberFormat="1" applyFont="1" applyFill="1" applyBorder="1" applyAlignment="1" applyProtection="1">
      <alignment horizontal="left" vertical="center" wrapText="1"/>
    </xf>
    <xf numFmtId="0" fontId="11" fillId="4" borderId="2" xfId="0" applyFont="1" applyFill="1" applyBorder="1" applyAlignment="1" applyProtection="1">
      <alignment horizontal="center" vertical="center"/>
    </xf>
    <xf numFmtId="176" fontId="16" fillId="0" borderId="2" xfId="0" applyNumberFormat="1" applyFont="1" applyFill="1" applyBorder="1" applyAlignment="1">
      <alignment vertical="center"/>
    </xf>
    <xf numFmtId="176" fontId="8" fillId="0" borderId="2" xfId="0" applyNumberFormat="1" applyFont="1" applyFill="1" applyBorder="1" applyAlignment="1">
      <alignment vertical="center"/>
    </xf>
    <xf numFmtId="177" fontId="12" fillId="4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3" fontId="8" fillId="0" borderId="0" xfId="0" applyNumberFormat="1" applyFont="1" applyFill="1" applyBorder="1" applyAlignment="1">
      <alignment vertical="center"/>
    </xf>
    <xf numFmtId="0" fontId="19" fillId="0" borderId="2" xfId="0" applyFont="1" applyFill="1" applyBorder="1" applyAlignment="1">
      <alignment horizontal="right" vertical="center"/>
    </xf>
    <xf numFmtId="43" fontId="8" fillId="0" borderId="2" xfId="0" applyNumberFormat="1" applyFont="1" applyFill="1" applyBorder="1" applyAlignment="1">
      <alignment vertical="center"/>
    </xf>
    <xf numFmtId="43" fontId="10" fillId="0" borderId="2" xfId="3" applyNumberFormat="1" applyFont="1" applyFill="1" applyBorder="1" applyAlignment="1">
      <alignment vertical="center"/>
    </xf>
    <xf numFmtId="10" fontId="8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43" fontId="0" fillId="0" borderId="2" xfId="1" applyNumberFormat="1" applyBorder="1" applyAlignment="1">
      <alignment horizontal="center" vertical="center"/>
    </xf>
    <xf numFmtId="0" fontId="19" fillId="0" borderId="0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43" fontId="20" fillId="0" borderId="2" xfId="0" applyNumberFormat="1" applyFont="1" applyFill="1" applyBorder="1" applyAlignment="1">
      <alignment vertical="center"/>
    </xf>
    <xf numFmtId="43" fontId="12" fillId="0" borderId="2" xfId="0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19" fillId="0" borderId="5" xfId="0" applyFont="1" applyFill="1" applyBorder="1" applyAlignment="1">
      <alignment horizontal="center" vertical="center"/>
    </xf>
    <xf numFmtId="176" fontId="10" fillId="0" borderId="5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/>
    </xf>
    <xf numFmtId="10" fontId="10" fillId="0" borderId="2" xfId="3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right" vertical="center"/>
    </xf>
    <xf numFmtId="4" fontId="10" fillId="0" borderId="2" xfId="0" applyNumberFormat="1" applyFont="1" applyFill="1" applyBorder="1" applyAlignment="1">
      <alignment horizontal="right" vertical="center"/>
    </xf>
    <xf numFmtId="43" fontId="21" fillId="0" borderId="9" xfId="49" applyNumberFormat="1" applyFont="1" applyFill="1" applyBorder="1" applyAlignment="1" applyProtection="1">
      <protection locked="0"/>
    </xf>
    <xf numFmtId="4" fontId="22" fillId="5" borderId="0" xfId="0" applyNumberFormat="1" applyFont="1" applyFill="1" applyAlignment="1">
      <alignment horizontal="right" vertical="center"/>
      <extLst>
        <ext xmlns:etc="http://www.wps.cn/officeDocument/2017/etCustomData" uri="{F19249F5-4A6E-446B-B59F-E2C9F2DAA1D5}">
          <etc:displayText val="2"/>
        </ext>
      </extLst>
    </xf>
    <xf numFmtId="0" fontId="22" fillId="5" borderId="10" xfId="0" applyFont="1" applyFill="1" applyBorder="1" applyAlignment="1">
      <alignment horizontal="right" vertical="center" wrapText="1"/>
    </xf>
    <xf numFmtId="4" fontId="8" fillId="0" borderId="0" xfId="0" applyNumberFormat="1" applyFont="1" applyFill="1" applyBorder="1" applyAlignment="1">
      <alignment vertical="center"/>
    </xf>
    <xf numFmtId="176" fontId="10" fillId="0" borderId="2" xfId="0" applyNumberFormat="1" applyFont="1" applyFill="1" applyBorder="1" applyAlignment="1">
      <alignment horizontal="right" vertical="center"/>
    </xf>
    <xf numFmtId="4" fontId="23" fillId="0" borderId="0" xfId="0" applyNumberFormat="1" applyFont="1">
      <alignment vertical="center"/>
    </xf>
    <xf numFmtId="4" fontId="21" fillId="0" borderId="11" xfId="49" applyNumberFormat="1" applyFont="1" applyFill="1" applyBorder="1" applyAlignment="1" applyProtection="1">
      <alignment vertical="top"/>
      <protection locked="0"/>
    </xf>
    <xf numFmtId="0" fontId="24" fillId="0" borderId="0" xfId="0" applyFont="1">
      <alignment vertical="center"/>
    </xf>
    <xf numFmtId="4" fontId="24" fillId="0" borderId="0" xfId="0" applyNumberFormat="1" applyFont="1">
      <alignment vertical="center"/>
    </xf>
    <xf numFmtId="9" fontId="10" fillId="0" borderId="2" xfId="3" applyFont="1" applyFill="1" applyBorder="1" applyAlignment="1">
      <alignment horizontal="right" vertical="center"/>
    </xf>
    <xf numFmtId="43" fontId="1" fillId="4" borderId="2" xfId="0" applyNumberFormat="1" applyFont="1" applyFill="1" applyBorder="1" applyAlignment="1">
      <alignment vertical="center" shrinkToFit="1"/>
    </xf>
    <xf numFmtId="43" fontId="25" fillId="0" borderId="0" xfId="1" applyFont="1" applyFill="1" applyAlignment="1">
      <alignment horizontal="left" shrinkToFit="1"/>
    </xf>
    <xf numFmtId="43" fontId="25" fillId="0" borderId="0" xfId="1" applyFont="1" applyFill="1" applyAlignment="1">
      <alignment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3.xml"/><Relationship Id="rId10" Type="http://schemas.openxmlformats.org/officeDocument/2006/relationships/externalLink" Target="externalLinks/externalLink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2.3.17\&#24464;&#25991;&#24428;&#36164;&#26009;\1&#12289;&#38463;&#20811;&#33487;&#36890;&#21147;&#25151;&#22320;&#20135;&#24320;&#21457;&#26377;&#38480;&#20844;&#21496;\&#31246;&#37329;&#35745;&#31639;&#34920;\&#38463;&#20811;&#33487;&#36890;&#21147;&#25104;&#26412;&#30830;&#35748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0108;&#21704;&#21704;\Desktop\2025.10.9\&#38463;&#20811;&#33487;&#36890;&#21147;\11&#26376;\&#31199;&#36161;&#21488;&#36134;&#25253;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3;&#20811;&#33487;&#36890;&#21147;-&#31199;&#36161;&#21488;&#36134;&#25253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1月成本确认表"/>
      <sheetName val="12月成本结转表"/>
      <sheetName val="2024年3月成本结转"/>
      <sheetName val="2024年9月成本结转"/>
      <sheetName val="2025年1月成本结转 "/>
      <sheetName val="2025年2月成本结转 "/>
      <sheetName val="2025年3月成本结转"/>
      <sheetName val="Sheet2"/>
    </sheetNames>
    <sheetDataSet>
      <sheetData sheetId="0" refreshError="1"/>
      <sheetData sheetId="1" refreshError="1"/>
      <sheetData sheetId="2" refreshError="1"/>
      <sheetData sheetId="3" refreshError="1">
        <row r="10">
          <cell r="G10">
            <v>382.02</v>
          </cell>
        </row>
        <row r="23">
          <cell r="B23">
            <v>1398.99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</sheetNames>
    <sheetDataSet>
      <sheetData sheetId="0" refreshError="1">
        <row r="29">
          <cell r="R29">
            <v>33.37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Sheet0 (2)"/>
    </sheetNames>
    <sheetDataSet>
      <sheetData sheetId="0"/>
      <sheetData sheetId="1">
        <row r="24">
          <cell r="T24">
            <v>1032.00860931498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1"/>
  <sheetViews>
    <sheetView topLeftCell="A2" workbookViewId="0">
      <selection activeCell="S19" sqref="S19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1.25" style="1" customWidth="1"/>
    <col min="9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>
        <v>726578</v>
      </c>
      <c r="D3" s="10">
        <v>-726578</v>
      </c>
      <c r="E3" s="10">
        <f>C3+D3</f>
        <v>0</v>
      </c>
      <c r="F3" s="10">
        <f>E3/1.09*9%</f>
        <v>0</v>
      </c>
      <c r="G3" s="10">
        <f t="shared" ref="G3:G13" si="0">F3*0.07</f>
        <v>0</v>
      </c>
      <c r="H3" s="10">
        <f t="shared" ref="H3:H9" si="1">F3*0.03</f>
        <v>0</v>
      </c>
      <c r="I3" s="10">
        <f t="shared" ref="I3:I9" si="2">F3*0.02</f>
        <v>0</v>
      </c>
      <c r="J3" s="10">
        <f t="shared" ref="J3:J8" si="3">E3/1.05*0.0005</f>
        <v>0</v>
      </c>
      <c r="K3" s="10"/>
      <c r="L3" s="10"/>
      <c r="M3" s="10"/>
      <c r="N3" s="10"/>
      <c r="O3" s="10">
        <f>414.69+1.73</f>
        <v>416.42</v>
      </c>
      <c r="P3" s="10"/>
      <c r="Q3" s="10"/>
      <c r="R3" s="10"/>
      <c r="S3" s="11">
        <f>SUM(F3:R3)</f>
        <v>416.42</v>
      </c>
    </row>
    <row r="4" s="3" customFormat="1" ht="20" customHeight="1" spans="1:20">
      <c r="A4" s="8"/>
      <c r="B4" s="9" t="s">
        <v>22</v>
      </c>
      <c r="C4" s="10"/>
      <c r="D4" s="10"/>
      <c r="E4" s="10">
        <f t="shared" ref="E4:E13" si="4">C4+D4</f>
        <v>0</v>
      </c>
      <c r="F4" s="10">
        <f>E4/1.09*9%</f>
        <v>0</v>
      </c>
      <c r="G4" s="10">
        <f t="shared" si="0"/>
        <v>0</v>
      </c>
      <c r="H4" s="10">
        <f t="shared" si="1"/>
        <v>0</v>
      </c>
      <c r="I4" s="10">
        <f t="shared" si="2"/>
        <v>0</v>
      </c>
      <c r="J4" s="10">
        <f>E4*0.0005</f>
        <v>0</v>
      </c>
      <c r="K4" s="10">
        <f>(E4-F4)*0.04</f>
        <v>0</v>
      </c>
      <c r="L4" s="10"/>
      <c r="M4" s="10"/>
      <c r="N4" s="10"/>
      <c r="O4" s="10">
        <v>300</v>
      </c>
      <c r="P4" s="10"/>
      <c r="Q4" s="10"/>
      <c r="R4" s="10"/>
      <c r="S4" s="11">
        <f t="shared" ref="S4:S13" si="5">SUM(F4:R4)</f>
        <v>300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4"/>
        <v>0</v>
      </c>
      <c r="F5" s="10">
        <f>E5/1.09*9%</f>
        <v>0</v>
      </c>
      <c r="G5" s="10">
        <f t="shared" si="0"/>
        <v>0</v>
      </c>
      <c r="H5" s="10">
        <f t="shared" si="1"/>
        <v>0</v>
      </c>
      <c r="I5" s="10">
        <f t="shared" si="2"/>
        <v>0</v>
      </c>
      <c r="J5" s="10">
        <f>E5*0.0005</f>
        <v>0</v>
      </c>
      <c r="K5" s="10"/>
      <c r="L5" s="10"/>
      <c r="M5" s="10"/>
      <c r="N5" s="10"/>
      <c r="O5" s="10"/>
      <c r="P5" s="10"/>
      <c r="Q5" s="10"/>
      <c r="R5" s="10"/>
      <c r="S5" s="11">
        <f t="shared" si="5"/>
        <v>0</v>
      </c>
    </row>
    <row r="6" s="3" customFormat="1" ht="20" customHeight="1" spans="1:20">
      <c r="A6" s="8" t="s">
        <v>24</v>
      </c>
      <c r="B6" s="9" t="s">
        <v>21</v>
      </c>
      <c r="C6" s="10">
        <v>1134</v>
      </c>
      <c r="D6" s="10">
        <f>1158040+57902</f>
        <v>1215942</v>
      </c>
      <c r="E6" s="10">
        <f t="shared" si="4"/>
        <v>1217076</v>
      </c>
      <c r="F6" s="10">
        <f t="shared" ref="F6:F8" si="6">E6/1.05*0.05</f>
        <v>57956</v>
      </c>
      <c r="G6" s="10">
        <f t="shared" si="0"/>
        <v>4056.92</v>
      </c>
      <c r="H6" s="10">
        <f t="shared" si="1"/>
        <v>1738.68</v>
      </c>
      <c r="I6" s="10">
        <f t="shared" si="2"/>
        <v>1159.12</v>
      </c>
      <c r="J6" s="10">
        <f>E6*0.0005</f>
        <v>608.538</v>
      </c>
      <c r="K6" s="10"/>
      <c r="L6" s="10"/>
      <c r="M6" s="10"/>
      <c r="N6" s="10"/>
      <c r="O6" s="10"/>
      <c r="P6" s="10"/>
      <c r="Q6" s="10"/>
      <c r="R6" s="10"/>
      <c r="S6" s="11">
        <f t="shared" si="5"/>
        <v>65519.258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4"/>
        <v>0</v>
      </c>
      <c r="F7" s="10">
        <f t="shared" si="6"/>
        <v>0</v>
      </c>
      <c r="G7" s="10">
        <f t="shared" si="0"/>
        <v>0</v>
      </c>
      <c r="H7" s="10">
        <f t="shared" si="1"/>
        <v>0</v>
      </c>
      <c r="I7" s="10">
        <f t="shared" si="2"/>
        <v>0</v>
      </c>
      <c r="J7" s="10">
        <f t="shared" si="3"/>
        <v>0</v>
      </c>
      <c r="K7" s="10">
        <f>(E7-F7)*0.03</f>
        <v>0</v>
      </c>
      <c r="L7" s="10"/>
      <c r="M7" s="10"/>
      <c r="N7" s="10"/>
      <c r="O7" s="10"/>
      <c r="P7" s="10"/>
      <c r="Q7" s="10"/>
      <c r="R7" s="10"/>
      <c r="S7" s="11">
        <f t="shared" si="5"/>
        <v>0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4"/>
        <v>0</v>
      </c>
      <c r="F8" s="10">
        <f t="shared" si="6"/>
        <v>0</v>
      </c>
      <c r="G8" s="10">
        <f t="shared" si="0"/>
        <v>0</v>
      </c>
      <c r="H8" s="10">
        <f t="shared" si="1"/>
        <v>0</v>
      </c>
      <c r="I8" s="10">
        <f t="shared" si="2"/>
        <v>0</v>
      </c>
      <c r="J8" s="10">
        <f t="shared" si="3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si="5"/>
        <v>0</v>
      </c>
    </row>
    <row r="9" s="3" customFormat="1" ht="20" customHeight="1" spans="1:20">
      <c r="A9" s="12" t="s">
        <v>25</v>
      </c>
      <c r="B9" s="9" t="s">
        <v>20</v>
      </c>
      <c r="C9" s="10"/>
      <c r="D9" s="10"/>
      <c r="E9" s="10">
        <f t="shared" si="4"/>
        <v>0</v>
      </c>
      <c r="F9" s="10">
        <f>E9/1.09*9%</f>
        <v>0</v>
      </c>
      <c r="G9" s="10">
        <f t="shared" si="0"/>
        <v>0</v>
      </c>
      <c r="H9" s="10">
        <f t="shared" si="1"/>
        <v>0</v>
      </c>
      <c r="I9" s="10">
        <f t="shared" si="2"/>
        <v>0</v>
      </c>
      <c r="J9" s="10"/>
      <c r="K9" s="10"/>
      <c r="L9" s="10"/>
      <c r="M9" s="10"/>
      <c r="N9" s="10"/>
      <c r="O9" s="10"/>
      <c r="P9" s="10"/>
      <c r="Q9" s="10"/>
      <c r="R9" s="10"/>
      <c r="S9" s="11">
        <f t="shared" si="5"/>
        <v>0</v>
      </c>
    </row>
    <row r="10" s="3" customFormat="1" ht="20" customHeight="1" spans="1:20">
      <c r="A10" s="14"/>
      <c r="B10" s="9" t="s">
        <v>24</v>
      </c>
      <c r="C10" s="10"/>
      <c r="D10" s="10"/>
      <c r="E10" s="10">
        <f t="shared" si="4"/>
        <v>0</v>
      </c>
      <c r="F10" s="10">
        <f>E10/1.05*0.05</f>
        <v>0</v>
      </c>
      <c r="G10" s="10">
        <f t="shared" si="0"/>
        <v>0</v>
      </c>
      <c r="H10" s="10">
        <f>F10*3%</f>
        <v>0</v>
      </c>
      <c r="I10" s="10">
        <f>F10*2%</f>
        <v>0</v>
      </c>
      <c r="J10" s="10"/>
      <c r="K10" s="10"/>
      <c r="L10" s="10"/>
      <c r="M10" s="98"/>
      <c r="N10" s="10"/>
      <c r="O10" s="10"/>
      <c r="P10" s="10"/>
      <c r="Q10" s="10"/>
      <c r="R10" s="10"/>
      <c r="S10" s="11">
        <f t="shared" si="5"/>
        <v>0</v>
      </c>
    </row>
    <row r="11" s="3" customFormat="1" ht="20" customHeight="1" spans="1:20">
      <c r="A11" s="8" t="s">
        <v>26</v>
      </c>
      <c r="B11" s="9" t="s">
        <v>27</v>
      </c>
      <c r="C11" s="10"/>
      <c r="D11" s="10"/>
      <c r="E11" s="10">
        <f t="shared" si="4"/>
        <v>0</v>
      </c>
      <c r="F11" s="10">
        <f t="shared" ref="F9:F11" si="7">E11/1.05*0.05</f>
        <v>0</v>
      </c>
      <c r="G11" s="10">
        <f t="shared" si="0"/>
        <v>0</v>
      </c>
      <c r="H11" s="10">
        <f t="shared" ref="H11:H13" si="8">F11*0.03</f>
        <v>0</v>
      </c>
      <c r="I11" s="10">
        <f t="shared" ref="I11:I13" si="9">F11*0.02</f>
        <v>0</v>
      </c>
      <c r="J11" s="10"/>
      <c r="K11" s="10"/>
      <c r="L11" s="10"/>
      <c r="M11" s="10"/>
      <c r="N11" s="10"/>
      <c r="O11" s="10"/>
      <c r="P11" s="10"/>
      <c r="Q11" s="10"/>
      <c r="R11" s="10"/>
      <c r="S11" s="11">
        <f t="shared" si="5"/>
        <v>0</v>
      </c>
    </row>
    <row r="12" s="3" customFormat="1" ht="20" customHeight="1" spans="1:20">
      <c r="A12" s="8"/>
      <c r="B12" s="9" t="s">
        <v>28</v>
      </c>
      <c r="C12" s="10"/>
      <c r="D12" s="10">
        <v>42.94</v>
      </c>
      <c r="E12" s="10">
        <f t="shared" si="4"/>
        <v>42.94</v>
      </c>
      <c r="F12" s="10">
        <f>E12/1.06*0.06</f>
        <v>2.43056603773585</v>
      </c>
      <c r="G12" s="10">
        <f t="shared" si="0"/>
        <v>0.170139622641509</v>
      </c>
      <c r="H12" s="10">
        <f t="shared" si="8"/>
        <v>0.0729169811320755</v>
      </c>
      <c r="I12" s="10">
        <f t="shared" si="9"/>
        <v>0.048611320754717</v>
      </c>
      <c r="J12" s="10"/>
      <c r="K12" s="10"/>
      <c r="L12" s="10"/>
      <c r="M12" s="10"/>
      <c r="N12" s="10"/>
      <c r="O12" s="10"/>
      <c r="P12" s="10"/>
      <c r="Q12" s="10"/>
      <c r="R12" s="10"/>
      <c r="S12" s="11">
        <f t="shared" si="5"/>
        <v>2.72223396226415</v>
      </c>
    </row>
    <row r="13" s="3" customFormat="1" ht="20" customHeight="1" spans="1:20">
      <c r="A13" s="8"/>
      <c r="B13" s="9" t="s">
        <v>29</v>
      </c>
      <c r="C13" s="10"/>
      <c r="D13" s="10"/>
      <c r="E13" s="10">
        <f t="shared" si="4"/>
        <v>0</v>
      </c>
      <c r="F13" s="10">
        <f>E13/1.09*9%</f>
        <v>0</v>
      </c>
      <c r="G13" s="10">
        <f>G12</f>
        <v>0.170139622641509</v>
      </c>
      <c r="H13" s="10">
        <f>H12</f>
        <v>0.0729169811320755</v>
      </c>
      <c r="I13" s="10">
        <f>I12</f>
        <v>0.048611320754717</v>
      </c>
      <c r="J13" s="10"/>
      <c r="K13" s="10"/>
      <c r="L13" s="10"/>
      <c r="M13" s="10"/>
      <c r="N13" s="10"/>
      <c r="O13" s="10"/>
      <c r="P13" s="10"/>
      <c r="Q13" s="10"/>
      <c r="R13" s="10"/>
      <c r="S13" s="11">
        <f t="shared" si="5"/>
        <v>0.291667924528302</v>
      </c>
    </row>
    <row r="14" s="3" customFormat="1" ht="20" customHeight="1" spans="1:20">
      <c r="A14" s="15" t="s">
        <v>19</v>
      </c>
      <c r="B14" s="15"/>
      <c r="C14" s="16">
        <f>SUM(C3:C12)-C13</f>
        <v>727712</v>
      </c>
      <c r="D14" s="16">
        <f t="shared" ref="D14:S14" si="10">SUM(D3:D12)-D13</f>
        <v>489406.94</v>
      </c>
      <c r="E14" s="16">
        <f t="shared" si="10"/>
        <v>1217118.94</v>
      </c>
      <c r="F14" s="16">
        <f t="shared" si="10"/>
        <v>57958.4305660377</v>
      </c>
      <c r="G14" s="16">
        <f t="shared" si="10"/>
        <v>4056.92</v>
      </c>
      <c r="H14" s="16">
        <f t="shared" si="10"/>
        <v>1738.68</v>
      </c>
      <c r="I14" s="16">
        <f t="shared" si="10"/>
        <v>1159.12</v>
      </c>
      <c r="J14" s="16">
        <f t="shared" si="10"/>
        <v>608.538</v>
      </c>
      <c r="K14" s="16">
        <f t="shared" si="10"/>
        <v>0</v>
      </c>
      <c r="L14" s="16">
        <f t="shared" si="10"/>
        <v>0</v>
      </c>
      <c r="M14" s="16">
        <f t="shared" si="10"/>
        <v>0</v>
      </c>
      <c r="N14" s="16">
        <f t="shared" si="10"/>
        <v>0</v>
      </c>
      <c r="O14" s="16">
        <f t="shared" si="10"/>
        <v>716.42</v>
      </c>
      <c r="P14" s="16">
        <f t="shared" si="10"/>
        <v>0</v>
      </c>
      <c r="Q14" s="16">
        <f t="shared" si="10"/>
        <v>0</v>
      </c>
      <c r="R14" s="16">
        <f t="shared" si="10"/>
        <v>0</v>
      </c>
      <c r="S14" s="16">
        <f t="shared" si="10"/>
        <v>66238.1085660377</v>
      </c>
      <c r="T14" s="17"/>
    </row>
    <row r="15" s="1" customFormat="1" customHeight="1" spans="1:20">
      <c r="B15" s="1" t="s">
        <v>30</v>
      </c>
      <c r="C15" s="18"/>
      <c r="D15" s="18"/>
      <c r="E15" s="18"/>
      <c r="F15" s="18"/>
      <c r="G15" s="18"/>
      <c r="H15" s="18"/>
      <c r="I15" s="18"/>
      <c r="J15" s="18"/>
      <c r="K15" s="18"/>
      <c r="M15" s="18"/>
      <c r="N15" s="18"/>
      <c r="P15" s="18"/>
      <c r="Q15" s="18"/>
      <c r="R15" s="18"/>
      <c r="S15" s="18"/>
      <c r="T15" s="18"/>
    </row>
    <row r="16" s="1" customFormat="1" customHeight="1" spans="1:20">
      <c r="B16" s="1" t="s">
        <v>31</v>
      </c>
      <c r="F16" s="18"/>
      <c r="G16" s="18"/>
      <c r="H16" s="18"/>
      <c r="I16" s="18"/>
    </row>
    <row r="17" s="5" customFormat="1" ht="22.5" customHeight="1" spans="1:25">
      <c r="A17" s="1"/>
      <c r="C17" s="99"/>
      <c r="D17" s="99"/>
      <c r="E17" s="100"/>
      <c r="F17" s="32"/>
      <c r="G17" s="32"/>
      <c r="H17" s="32"/>
      <c r="I17" s="32"/>
      <c r="J17" s="32"/>
      <c r="K17" s="5"/>
      <c r="O17" s="33"/>
      <c r="P17" s="33"/>
      <c r="Q17" s="33"/>
      <c r="R17" s="33"/>
      <c r="S17" s="33"/>
      <c r="T17" s="34"/>
      <c r="U17" s="35"/>
      <c r="X17" s="36"/>
      <c r="Y17" s="36"/>
    </row>
    <row r="18" s="5" customFormat="1" ht="22.5" customHeight="1" spans="1:25">
      <c r="C18" s="32"/>
      <c r="D18" s="32"/>
      <c r="E18" s="32"/>
      <c r="F18" s="32"/>
      <c r="G18" s="32"/>
      <c r="H18" s="32"/>
      <c r="I18" s="32"/>
      <c r="J18" s="32"/>
      <c r="O18" s="33"/>
      <c r="P18" s="33"/>
      <c r="Q18" s="33"/>
      <c r="R18" s="33"/>
      <c r="S18" s="33"/>
      <c r="T18" s="34"/>
      <c r="U18" s="35"/>
      <c r="X18" s="36"/>
      <c r="Y18" s="36"/>
    </row>
    <row r="19" s="5" customFormat="1" ht="22.5" customHeight="1" spans="1:25">
      <c r="C19" s="32"/>
      <c r="D19" s="32"/>
      <c r="E19" s="32"/>
      <c r="F19" s="32"/>
      <c r="G19" s="32"/>
      <c r="H19" s="32"/>
      <c r="I19" s="32"/>
      <c r="J19" s="32"/>
      <c r="O19" s="33"/>
      <c r="P19" s="33"/>
      <c r="Q19" s="33"/>
      <c r="R19" s="33"/>
      <c r="S19" s="33"/>
      <c r="T19" s="34"/>
      <c r="U19" s="35"/>
      <c r="X19" s="36"/>
      <c r="Y19" s="36"/>
    </row>
    <row r="20" s="5" customFormat="1" ht="22.5" customHeight="1" spans="1:25">
      <c r="C20" s="32"/>
      <c r="D20" s="32"/>
      <c r="E20" s="32"/>
      <c r="F20" s="32"/>
      <c r="G20" s="32"/>
      <c r="H20" s="32"/>
      <c r="I20" s="32"/>
      <c r="J20" s="32"/>
      <c r="O20" s="33"/>
      <c r="P20" s="33"/>
      <c r="Q20" s="33"/>
      <c r="R20" s="33"/>
      <c r="S20" s="33"/>
      <c r="T20" s="34"/>
      <c r="U20" s="35"/>
      <c r="X20" s="36"/>
      <c r="Y20" s="36"/>
    </row>
    <row r="21" s="5" customFormat="1" ht="22.5" customHeight="1" spans="1:25">
      <c r="C21" s="32"/>
      <c r="D21" s="32"/>
      <c r="E21" s="32"/>
      <c r="F21" s="32"/>
      <c r="G21" s="32"/>
      <c r="H21" s="32"/>
      <c r="I21" s="32"/>
      <c r="J21" s="32"/>
      <c r="O21" s="33"/>
      <c r="P21" s="33"/>
      <c r="Q21" s="33"/>
      <c r="R21" s="33"/>
      <c r="S21" s="33"/>
      <c r="T21" s="34"/>
      <c r="U21" s="35"/>
      <c r="X21" s="36"/>
      <c r="Y21" s="36"/>
    </row>
    <row r="22" s="5" customFormat="1" ht="22.5" customHeight="1" spans="1:25">
      <c r="C22" s="32"/>
      <c r="D22" s="32"/>
      <c r="E22" s="32"/>
      <c r="F22" s="32"/>
      <c r="G22" s="32"/>
      <c r="H22" s="32"/>
      <c r="I22" s="32"/>
      <c r="J22" s="32"/>
      <c r="O22" s="33"/>
      <c r="P22" s="33"/>
      <c r="Q22" s="33"/>
      <c r="R22" s="33"/>
      <c r="S22" s="33"/>
      <c r="T22" s="34"/>
      <c r="U22" s="35"/>
      <c r="X22" s="36"/>
      <c r="Y22" s="36"/>
    </row>
    <row r="23" s="5" customFormat="1" ht="22.5" customHeight="1" spans="1:25">
      <c r="C23" s="32"/>
      <c r="D23" s="32"/>
      <c r="E23" s="32"/>
      <c r="F23" s="32"/>
      <c r="G23" s="32"/>
      <c r="H23" s="32"/>
      <c r="I23" s="32"/>
      <c r="J23" s="32"/>
      <c r="O23" s="33"/>
      <c r="P23" s="33"/>
      <c r="Q23" s="33"/>
      <c r="R23" s="33"/>
      <c r="S23" s="33"/>
      <c r="T23" s="34"/>
      <c r="U23" s="35"/>
      <c r="X23" s="36"/>
      <c r="Y23" s="36"/>
    </row>
    <row r="24" s="5" customFormat="1" ht="22.5" customHeight="1" spans="1:25">
      <c r="C24" s="32"/>
      <c r="D24" s="32"/>
      <c r="E24" s="32"/>
      <c r="F24" s="32"/>
      <c r="G24" s="32"/>
      <c r="H24" s="32"/>
      <c r="I24" s="32"/>
      <c r="J24" s="32"/>
      <c r="O24" s="33"/>
      <c r="P24" s="33"/>
      <c r="Q24" s="33"/>
      <c r="R24" s="33"/>
      <c r="S24" s="33"/>
      <c r="T24" s="34"/>
      <c r="U24" s="35"/>
      <c r="X24" s="36"/>
      <c r="Y24" s="36"/>
    </row>
    <row r="25" s="5" customFormat="1" ht="22.5" customHeight="1" spans="1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1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1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1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1:25">
      <c r="C29" s="32"/>
      <c r="D29" s="32"/>
      <c r="E29" s="32"/>
      <c r="F29" s="32"/>
      <c r="G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1:25">
      <c r="C30" s="32"/>
      <c r="D30" s="32"/>
      <c r="E30" s="32"/>
      <c r="F30" s="32"/>
      <c r="G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1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</sheetData>
  <mergeCells count="5">
    <mergeCell ref="A1:S1"/>
    <mergeCell ref="A14:B14"/>
    <mergeCell ref="A3:A5"/>
    <mergeCell ref="A6:A8"/>
    <mergeCell ref="A9:A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topLeftCell="C12" workbookViewId="0">
      <selection activeCell="A1" sqref="A1:S25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4.4444444444444" style="1" customWidth="1"/>
    <col min="9" max="10" width="9.62962962962963" style="1" customWidth="1"/>
    <col min="11" max="11" width="13.1111111111111" style="1" customWidth="1"/>
    <col min="12" max="12" width="9.62962962962963" style="1" customWidth="1"/>
    <col min="13" max="13" width="13.3333333333333" style="1" customWidth="1"/>
    <col min="14" max="14" width="13.4444444444444" style="1" customWidth="1"/>
    <col min="15" max="15" width="13.2222222222222" style="1" customWidth="1"/>
    <col min="16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/>
      <c r="D3" s="10"/>
      <c r="E3" s="10">
        <f t="shared" ref="E3:E13" si="0">C3+D3</f>
        <v>0</v>
      </c>
      <c r="F3" s="10">
        <f>E3/1.09*9%</f>
        <v>0</v>
      </c>
      <c r="G3" s="10">
        <f t="shared" ref="G3:G12" si="1">F3*0.07</f>
        <v>0</v>
      </c>
      <c r="H3" s="10">
        <f t="shared" ref="H3:H9" si="2">F3*0.03</f>
        <v>0</v>
      </c>
      <c r="I3" s="10">
        <f t="shared" ref="I3:I9" si="3">F3*0.02</f>
        <v>0</v>
      </c>
      <c r="J3" s="10">
        <f t="shared" ref="J3:J8" si="4">E3/1.05*0.0005</f>
        <v>0</v>
      </c>
      <c r="K3" s="10"/>
      <c r="L3" s="10"/>
      <c r="M3" s="10"/>
      <c r="N3" s="10"/>
      <c r="O3" s="10"/>
      <c r="P3" s="10"/>
      <c r="Q3" s="10"/>
      <c r="R3" s="10"/>
      <c r="S3" s="11">
        <f t="shared" ref="S3:S13" si="5">SUM(F3:R3)</f>
        <v>0</v>
      </c>
    </row>
    <row r="4" s="3" customFormat="1" ht="20" customHeight="1" spans="1:20">
      <c r="A4" s="8"/>
      <c r="B4" s="9" t="s">
        <v>22</v>
      </c>
      <c r="C4" s="10"/>
      <c r="D4" s="10"/>
      <c r="E4" s="10">
        <f t="shared" si="0"/>
        <v>0</v>
      </c>
      <c r="F4" s="10">
        <f>E4/1.09*9%</f>
        <v>0</v>
      </c>
      <c r="G4" s="10">
        <f t="shared" si="1"/>
        <v>0</v>
      </c>
      <c r="H4" s="10">
        <f t="shared" si="2"/>
        <v>0</v>
      </c>
      <c r="I4" s="10">
        <f t="shared" si="3"/>
        <v>0</v>
      </c>
      <c r="J4" s="10">
        <f t="shared" ref="J4:J6" si="6">E4*0.0005</f>
        <v>0</v>
      </c>
      <c r="K4" s="10"/>
      <c r="L4" s="10"/>
      <c r="M4" s="10"/>
      <c r="N4" s="10"/>
      <c r="O4" s="10"/>
      <c r="P4" s="10"/>
      <c r="Q4" s="10"/>
      <c r="R4" s="10"/>
      <c r="S4" s="11">
        <f t="shared" si="5"/>
        <v>0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0"/>
        <v>0</v>
      </c>
      <c r="F5" s="10">
        <f>E5/1.09*9%</f>
        <v>0</v>
      </c>
      <c r="G5" s="10">
        <f t="shared" si="1"/>
        <v>0</v>
      </c>
      <c r="H5" s="10">
        <f t="shared" si="2"/>
        <v>0</v>
      </c>
      <c r="I5" s="10">
        <f t="shared" si="3"/>
        <v>0</v>
      </c>
      <c r="J5" s="10">
        <f t="shared" si="6"/>
        <v>0</v>
      </c>
      <c r="K5" s="10"/>
      <c r="L5" s="10"/>
      <c r="M5" s="10"/>
      <c r="N5" s="10">
        <f>Sheet1!M18</f>
        <v>3253.47</v>
      </c>
      <c r="O5" s="10"/>
      <c r="P5" s="10"/>
      <c r="Q5" s="10"/>
      <c r="R5" s="10"/>
      <c r="S5" s="11">
        <f t="shared" si="5"/>
        <v>3253.47</v>
      </c>
    </row>
    <row r="6" s="3" customFormat="1" ht="20" customHeight="1" spans="1:20">
      <c r="A6" s="8" t="s">
        <v>24</v>
      </c>
      <c r="B6" s="9" t="s">
        <v>21</v>
      </c>
      <c r="C6" s="10"/>
      <c r="D6" s="10"/>
      <c r="E6" s="10">
        <f t="shared" si="0"/>
        <v>0</v>
      </c>
      <c r="F6" s="10">
        <f t="shared" ref="F6:F8" si="7">E6/1.05*0.05</f>
        <v>0</v>
      </c>
      <c r="G6" s="10">
        <f t="shared" si="1"/>
        <v>0</v>
      </c>
      <c r="H6" s="10">
        <f t="shared" si="2"/>
        <v>0</v>
      </c>
      <c r="I6" s="10">
        <f t="shared" si="3"/>
        <v>0</v>
      </c>
      <c r="J6" s="10">
        <f t="shared" si="6"/>
        <v>0</v>
      </c>
      <c r="K6" s="10"/>
      <c r="L6" s="10"/>
      <c r="M6" s="10"/>
      <c r="N6" s="10"/>
      <c r="O6" s="10"/>
      <c r="P6" s="10"/>
      <c r="Q6" s="10"/>
      <c r="R6" s="10"/>
      <c r="S6" s="11">
        <f t="shared" si="5"/>
        <v>0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0"/>
        <v>0</v>
      </c>
      <c r="F7" s="10">
        <f t="shared" si="7"/>
        <v>0</v>
      </c>
      <c r="G7" s="10">
        <f t="shared" si="1"/>
        <v>0</v>
      </c>
      <c r="H7" s="10">
        <f t="shared" si="2"/>
        <v>0</v>
      </c>
      <c r="I7" s="10">
        <f t="shared" si="3"/>
        <v>0</v>
      </c>
      <c r="J7" s="10">
        <f t="shared" si="4"/>
        <v>0</v>
      </c>
      <c r="K7" s="10">
        <f>(E7-F7)*0.03</f>
        <v>0</v>
      </c>
      <c r="L7" s="10"/>
      <c r="M7" s="10"/>
      <c r="N7" s="10">
        <f>Sheet1!M19</f>
        <v>674.16</v>
      </c>
      <c r="O7" s="10"/>
      <c r="P7" s="10"/>
      <c r="Q7" s="10"/>
      <c r="R7" s="10"/>
      <c r="S7" s="11">
        <f t="shared" si="5"/>
        <v>674.16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0"/>
        <v>0</v>
      </c>
      <c r="F8" s="10">
        <f t="shared" si="7"/>
        <v>0</v>
      </c>
      <c r="G8" s="10">
        <f t="shared" si="1"/>
        <v>0</v>
      </c>
      <c r="H8" s="10">
        <f t="shared" si="2"/>
        <v>0</v>
      </c>
      <c r="I8" s="10">
        <f t="shared" si="3"/>
        <v>0</v>
      </c>
      <c r="J8" s="10">
        <f t="shared" si="4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ref="S8:S15" si="8">SUM(F8:R8)</f>
        <v>0</v>
      </c>
    </row>
    <row r="9" s="3" customFormat="1" ht="20" customHeight="1" spans="1:20">
      <c r="A9" s="12" t="s">
        <v>33</v>
      </c>
      <c r="B9" s="9" t="s">
        <v>33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>
        <f>Sheet1!M20</f>
        <v>77013.45</v>
      </c>
      <c r="O9" s="10"/>
      <c r="P9" s="10"/>
      <c r="Q9" s="10"/>
      <c r="R9" s="10"/>
      <c r="S9" s="11">
        <f t="shared" si="8"/>
        <v>77013.45</v>
      </c>
    </row>
    <row r="10" s="3" customFormat="1" ht="20" customHeight="1" spans="1:20">
      <c r="A10" s="12" t="s">
        <v>25</v>
      </c>
      <c r="B10" s="9" t="s">
        <v>20</v>
      </c>
      <c r="C10" s="10"/>
      <c r="D10" s="10"/>
      <c r="E10" s="10">
        <f>C10+D10</f>
        <v>0</v>
      </c>
      <c r="F10" s="10">
        <f>E10/1.09*9%</f>
        <v>0</v>
      </c>
      <c r="G10" s="10">
        <f>F10*0.07</f>
        <v>0</v>
      </c>
      <c r="H10" s="10">
        <f>F10*0.03</f>
        <v>0</v>
      </c>
      <c r="I10" s="10">
        <f>F10*0.02</f>
        <v>0</v>
      </c>
      <c r="J10" s="10"/>
      <c r="K10" s="10"/>
      <c r="L10" s="10"/>
      <c r="M10" s="10">
        <v>943.67</v>
      </c>
      <c r="N10" s="10"/>
      <c r="O10" s="10"/>
      <c r="P10" s="10"/>
      <c r="Q10" s="10"/>
      <c r="R10" s="10"/>
      <c r="S10" s="11">
        <f t="shared" si="8"/>
        <v>943.67</v>
      </c>
    </row>
    <row r="11" s="3" customFormat="1" ht="20" customHeight="1" spans="1:20">
      <c r="A11" s="13"/>
      <c r="B11" s="9" t="s">
        <v>24</v>
      </c>
      <c r="C11" s="10"/>
      <c r="D11" s="10"/>
      <c r="E11" s="10">
        <f>C11+D11</f>
        <v>0</v>
      </c>
      <c r="F11" s="10">
        <f>E11/1.05*0.05</f>
        <v>0</v>
      </c>
      <c r="G11" s="10">
        <f>F11*0.07</f>
        <v>0</v>
      </c>
      <c r="H11" s="10">
        <f>F11*3%</f>
        <v>0</v>
      </c>
      <c r="I11" s="10">
        <f>F11*2%</f>
        <v>0</v>
      </c>
      <c r="J11" s="10"/>
      <c r="K11" s="10"/>
      <c r="L11" s="10"/>
      <c r="M11" s="10">
        <v>476.78</v>
      </c>
      <c r="N11" s="10"/>
      <c r="O11" s="10"/>
      <c r="P11" s="10"/>
      <c r="Q11" s="10"/>
      <c r="R11" s="10"/>
      <c r="S11" s="11">
        <f t="shared" si="8"/>
        <v>476.78</v>
      </c>
    </row>
    <row r="12" s="3" customFormat="1" ht="20" customHeight="1" spans="1:20">
      <c r="A12" s="14"/>
      <c r="B12" s="9" t="s">
        <v>33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1">
        <f t="shared" si="8"/>
        <v>0</v>
      </c>
    </row>
    <row r="13" s="3" customFormat="1" ht="20" customHeight="1" spans="1:20">
      <c r="A13" s="8" t="s">
        <v>26</v>
      </c>
      <c r="B13" s="9" t="s">
        <v>27</v>
      </c>
      <c r="C13" s="10"/>
      <c r="D13" s="10"/>
      <c r="E13" s="10">
        <f>C13+D13</f>
        <v>0</v>
      </c>
      <c r="F13" s="10">
        <f>E13/1.05*0.05</f>
        <v>0</v>
      </c>
      <c r="G13" s="10">
        <f>F13*0.07</f>
        <v>0</v>
      </c>
      <c r="H13" s="10">
        <f>F13*0.03</f>
        <v>0</v>
      </c>
      <c r="I13" s="10">
        <f>F13*0.02</f>
        <v>0</v>
      </c>
      <c r="J13" s="10"/>
      <c r="K13" s="10"/>
      <c r="L13" s="10"/>
      <c r="M13" s="10"/>
      <c r="N13" s="10"/>
      <c r="O13" s="10"/>
      <c r="P13" s="10"/>
      <c r="Q13" s="10">
        <v>2021.9</v>
      </c>
      <c r="R13" s="10"/>
      <c r="S13" s="11">
        <f t="shared" si="8"/>
        <v>2021.9</v>
      </c>
    </row>
    <row r="14" s="3" customFormat="1" ht="20" customHeight="1" spans="1:20">
      <c r="A14" s="8"/>
      <c r="B14" s="9" t="s">
        <v>28</v>
      </c>
      <c r="C14" s="10"/>
      <c r="D14" s="10"/>
      <c r="E14" s="10">
        <f>C14+D14</f>
        <v>0</v>
      </c>
      <c r="F14" s="10">
        <f>E14/1.06*0.06</f>
        <v>0</v>
      </c>
      <c r="G14" s="10">
        <f>F14*0.07</f>
        <v>0</v>
      </c>
      <c r="H14" s="10">
        <f>F14*0.03</f>
        <v>0</v>
      </c>
      <c r="I14" s="10">
        <f>F14*0.02</f>
        <v>0</v>
      </c>
      <c r="J14" s="10"/>
      <c r="K14" s="10"/>
      <c r="L14" s="10"/>
      <c r="M14" s="10"/>
      <c r="N14" s="10"/>
      <c r="O14" s="10"/>
      <c r="P14" s="10"/>
      <c r="Q14" s="10"/>
      <c r="R14" s="10"/>
      <c r="S14" s="11">
        <f t="shared" si="8"/>
        <v>0</v>
      </c>
    </row>
    <row r="15" s="3" customFormat="1" ht="20" customHeight="1" spans="1:20">
      <c r="A15" s="8"/>
      <c r="B15" s="9" t="s">
        <v>29</v>
      </c>
      <c r="C15" s="10"/>
      <c r="D15" s="10"/>
      <c r="E15" s="10">
        <f>C15+D15</f>
        <v>0</v>
      </c>
      <c r="F15" s="10">
        <f>E15/1.09*9%</f>
        <v>0</v>
      </c>
      <c r="G15" s="10">
        <f t="shared" ref="G15:I15" si="9">G14</f>
        <v>0</v>
      </c>
      <c r="H15" s="10">
        <f t="shared" si="9"/>
        <v>0</v>
      </c>
      <c r="I15" s="10">
        <f t="shared" si="9"/>
        <v>0</v>
      </c>
      <c r="J15" s="10"/>
      <c r="K15" s="10"/>
      <c r="L15" s="10"/>
      <c r="M15" s="10"/>
      <c r="N15" s="10"/>
      <c r="O15" s="10"/>
      <c r="P15" s="10"/>
      <c r="Q15" s="10"/>
      <c r="R15" s="10"/>
      <c r="S15" s="11">
        <f t="shared" si="8"/>
        <v>0</v>
      </c>
    </row>
    <row r="16" s="3" customFormat="1" ht="20" customHeight="1" spans="1:20">
      <c r="A16" s="15" t="s">
        <v>19</v>
      </c>
      <c r="B16" s="15"/>
      <c r="C16" s="16">
        <f t="shared" ref="C16:S16" si="10">SUM(C3:C14)-C15</f>
        <v>0</v>
      </c>
      <c r="D16" s="16">
        <f t="shared" si="10"/>
        <v>0</v>
      </c>
      <c r="E16" s="16">
        <f t="shared" si="10"/>
        <v>0</v>
      </c>
      <c r="F16" s="16">
        <f t="shared" si="10"/>
        <v>0</v>
      </c>
      <c r="G16" s="16">
        <f t="shared" si="10"/>
        <v>0</v>
      </c>
      <c r="H16" s="16">
        <f t="shared" si="10"/>
        <v>0</v>
      </c>
      <c r="I16" s="16">
        <f t="shared" si="10"/>
        <v>0</v>
      </c>
      <c r="J16" s="16">
        <f t="shared" si="10"/>
        <v>0</v>
      </c>
      <c r="K16" s="16">
        <f t="shared" si="10"/>
        <v>0</v>
      </c>
      <c r="L16" s="16">
        <f t="shared" si="10"/>
        <v>0</v>
      </c>
      <c r="M16" s="16">
        <f t="shared" si="10"/>
        <v>1420.45</v>
      </c>
      <c r="N16" s="16">
        <f t="shared" si="10"/>
        <v>80941.08</v>
      </c>
      <c r="O16" s="16">
        <f t="shared" si="10"/>
        <v>0</v>
      </c>
      <c r="P16" s="16">
        <f t="shared" si="10"/>
        <v>0</v>
      </c>
      <c r="Q16" s="16">
        <f t="shared" si="10"/>
        <v>2021.9</v>
      </c>
      <c r="R16" s="16">
        <f t="shared" si="10"/>
        <v>0</v>
      </c>
      <c r="S16" s="16">
        <f t="shared" si="10"/>
        <v>84383.43</v>
      </c>
      <c r="T16" s="17"/>
    </row>
    <row r="17" s="1" customFormat="1" customHeight="1" spans="2:25">
      <c r="B17" s="1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M17" s="18"/>
      <c r="N17" s="18"/>
      <c r="P17" s="18"/>
      <c r="Q17" s="18"/>
      <c r="R17" s="18"/>
      <c r="S17" s="18"/>
      <c r="T17" s="18"/>
    </row>
    <row r="18" s="1" customFormat="1" customHeight="1" spans="2:25">
      <c r="B18" s="1" t="s">
        <v>31</v>
      </c>
      <c r="F18" s="18"/>
      <c r="G18" s="18"/>
      <c r="H18" s="18"/>
      <c r="I18" s="18"/>
    </row>
    <row r="19" s="4" customFormat="1" ht="14.4" spans="2:25">
      <c r="B19" s="19" t="s">
        <v>34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  <c r="P19" s="21"/>
      <c r="Q19" s="21"/>
      <c r="R19" s="21"/>
      <c r="S19" s="21"/>
      <c r="T19" s="21"/>
      <c r="U19" s="21"/>
    </row>
    <row r="20" s="4" customFormat="1" ht="33" customHeight="1" spans="2:25">
      <c r="B20" s="22" t="s">
        <v>35</v>
      </c>
      <c r="C20" s="22" t="s">
        <v>36</v>
      </c>
      <c r="D20" s="23" t="s">
        <v>37</v>
      </c>
      <c r="E20" s="24" t="s">
        <v>38</v>
      </c>
      <c r="F20" s="24" t="s">
        <v>39</v>
      </c>
      <c r="G20" s="22" t="s">
        <v>40</v>
      </c>
      <c r="H20" s="25" t="s">
        <v>41</v>
      </c>
      <c r="I20" s="22" t="s">
        <v>42</v>
      </c>
      <c r="J20" s="22" t="s">
        <v>43</v>
      </c>
      <c r="K20" s="22" t="s">
        <v>44</v>
      </c>
      <c r="L20" s="22"/>
      <c r="M20" s="22" t="s">
        <v>45</v>
      </c>
      <c r="N20" s="22" t="s">
        <v>46</v>
      </c>
      <c r="O20" s="26" t="s">
        <v>47</v>
      </c>
      <c r="P20" s="27" t="s">
        <v>48</v>
      </c>
      <c r="Q20" s="21"/>
      <c r="R20" s="21"/>
      <c r="S20" s="21"/>
      <c r="T20" s="21"/>
      <c r="U20" s="21"/>
    </row>
    <row r="21" s="4" customFormat="1" ht="37" customHeight="1" spans="2:25">
      <c r="B21" s="22">
        <v>1</v>
      </c>
      <c r="C21" s="22" t="s">
        <v>49</v>
      </c>
      <c r="D21" s="28">
        <v>37188.2</v>
      </c>
      <c r="E21" s="28">
        <v>37057</v>
      </c>
      <c r="F21" s="29">
        <f>'[1]2024年9月成本结转'!$B$23</f>
        <v>1398.99</v>
      </c>
      <c r="G21" s="30">
        <v>1.29</v>
      </c>
      <c r="H21" s="30">
        <f>F21/G21</f>
        <v>1084.48837209302</v>
      </c>
      <c r="I21" s="28" t="s">
        <v>50</v>
      </c>
      <c r="J21" s="28">
        <v>6</v>
      </c>
      <c r="K21" s="29">
        <f t="shared" ref="K21:K23" si="11">ROUND(H21*J21,2)</f>
        <v>6506.93</v>
      </c>
      <c r="L21" s="29"/>
      <c r="M21" s="29">
        <f>ROUND(K21/2,2)</f>
        <v>3253.47</v>
      </c>
      <c r="N21" s="22" t="s">
        <v>51</v>
      </c>
      <c r="O21" s="31" t="s">
        <v>52</v>
      </c>
      <c r="P21" s="27" t="s">
        <v>53</v>
      </c>
      <c r="Q21" s="21"/>
      <c r="R21" s="21"/>
      <c r="S21" s="21"/>
      <c r="T21" s="21"/>
      <c r="U21" s="21"/>
    </row>
    <row r="22" s="4" customFormat="1" ht="43" customHeight="1" spans="2:25">
      <c r="B22" s="22">
        <v>2</v>
      </c>
      <c r="C22" s="22" t="s">
        <v>24</v>
      </c>
      <c r="D22" s="28">
        <v>27452.9</v>
      </c>
      <c r="E22" s="28"/>
      <c r="F22" s="29">
        <f>'[1]2024年9月成本结转'!$G$10</f>
        <v>382.02</v>
      </c>
      <c r="G22" s="30">
        <v>1.7</v>
      </c>
      <c r="H22" s="30">
        <f>F22/G22</f>
        <v>224.717647058824</v>
      </c>
      <c r="I22" s="28" t="s">
        <v>50</v>
      </c>
      <c r="J22" s="28">
        <v>6</v>
      </c>
      <c r="K22" s="29">
        <f t="shared" si="11"/>
        <v>1348.31</v>
      </c>
      <c r="L22" s="29"/>
      <c r="M22" s="29">
        <f>ROUND(K22/2,2)</f>
        <v>674.16</v>
      </c>
      <c r="N22" s="22" t="s">
        <v>54</v>
      </c>
      <c r="O22" s="31" t="s">
        <v>55</v>
      </c>
      <c r="P22" s="27" t="s">
        <v>53</v>
      </c>
      <c r="Q22" s="21"/>
      <c r="R22" s="21"/>
      <c r="S22" s="21"/>
      <c r="T22" s="21"/>
      <c r="U22" s="21"/>
    </row>
    <row r="23" s="4" customFormat="1" ht="37" customHeight="1" spans="2:25">
      <c r="B23" s="22">
        <v>3</v>
      </c>
      <c r="C23" s="22" t="s">
        <v>33</v>
      </c>
      <c r="D23" s="29">
        <v>51342.3</v>
      </c>
      <c r="E23" s="29">
        <v>51342.3</v>
      </c>
      <c r="F23" s="29"/>
      <c r="G23" s="30">
        <v>1</v>
      </c>
      <c r="H23" s="30">
        <f>D23/G23</f>
        <v>51342.3</v>
      </c>
      <c r="I23" s="28" t="s">
        <v>50</v>
      </c>
      <c r="J23" s="28">
        <v>3</v>
      </c>
      <c r="K23" s="29">
        <f t="shared" si="11"/>
        <v>154026.9</v>
      </c>
      <c r="L23" s="29"/>
      <c r="M23" s="29">
        <f>K23/2</f>
        <v>77013.45</v>
      </c>
      <c r="N23" s="22"/>
      <c r="O23" s="31" t="s">
        <v>56</v>
      </c>
      <c r="P23" s="27" t="s">
        <v>57</v>
      </c>
      <c r="Q23" s="21"/>
      <c r="R23" s="21"/>
      <c r="S23" s="21"/>
      <c r="T23" s="21"/>
      <c r="U23" s="21"/>
    </row>
    <row r="24" s="4" customFormat="1" ht="19" customHeight="1" spans="2:25">
      <c r="B24" s="22" t="s">
        <v>19</v>
      </c>
      <c r="C24" s="22"/>
      <c r="D24" s="28"/>
      <c r="E24" s="28"/>
      <c r="F24" s="29">
        <f>SUM(F21:F23)</f>
        <v>1781.01</v>
      </c>
      <c r="G24" s="30"/>
      <c r="H24" s="30"/>
      <c r="I24" s="30"/>
      <c r="J24" s="30"/>
      <c r="K24" s="29">
        <f>SUM(K21:K23)</f>
        <v>161882.14</v>
      </c>
      <c r="L24" s="29"/>
      <c r="M24" s="29">
        <f>SUM(M21:M23)</f>
        <v>80941.08</v>
      </c>
      <c r="N24" s="22"/>
      <c r="O24" s="26"/>
      <c r="P24" s="26"/>
      <c r="Q24" s="21"/>
      <c r="R24" s="21"/>
      <c r="S24" s="21"/>
      <c r="T24" s="21"/>
      <c r="U24" s="21"/>
    </row>
    <row r="25" s="5" customFormat="1" ht="22.5" customHeight="1" spans="2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2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2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2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2:25">
      <c r="C29" s="32"/>
      <c r="D29" s="32"/>
      <c r="E29" s="32"/>
      <c r="F29" s="32"/>
      <c r="G29" s="32"/>
      <c r="H29" s="32"/>
      <c r="I29" s="32"/>
      <c r="J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2:25">
      <c r="C30" s="32"/>
      <c r="D30" s="32"/>
      <c r="E30" s="32"/>
      <c r="F30" s="32"/>
      <c r="G30" s="32"/>
      <c r="H30" s="32"/>
      <c r="I30" s="32"/>
      <c r="J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2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  <row r="32" s="5" customFormat="1" ht="22.5" customHeight="1" spans="2:25">
      <c r="C32" s="32"/>
      <c r="D32" s="32"/>
      <c r="E32" s="32"/>
      <c r="F32" s="32"/>
      <c r="G32" s="32"/>
      <c r="O32" s="33"/>
      <c r="P32" s="33"/>
      <c r="Q32" s="33"/>
      <c r="R32" s="33"/>
      <c r="S32" s="33"/>
      <c r="T32" s="34"/>
      <c r="U32" s="35"/>
      <c r="X32" s="36"/>
      <c r="Y32" s="36"/>
    </row>
    <row r="33" s="5" customFormat="1" ht="22.5" customHeight="1" spans="3:25">
      <c r="C33" s="32"/>
      <c r="D33" s="32"/>
      <c r="E33" s="32"/>
      <c r="F33" s="32"/>
      <c r="G33" s="32"/>
      <c r="O33" s="33"/>
      <c r="P33" s="33"/>
      <c r="Q33" s="33"/>
      <c r="R33" s="33"/>
      <c r="S33" s="33"/>
      <c r="T33" s="34"/>
      <c r="U33" s="35"/>
      <c r="X33" s="36"/>
      <c r="Y33" s="36"/>
    </row>
  </sheetData>
  <mergeCells count="5">
    <mergeCell ref="A1:S1"/>
    <mergeCell ref="A16:B16"/>
    <mergeCell ref="A3:A5"/>
    <mergeCell ref="A6:A8"/>
    <mergeCell ref="A10:A1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workbookViewId="0">
      <selection activeCell="C3" sqref="C3:C4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4.4444444444444" style="1" customWidth="1"/>
    <col min="9" max="10" width="9.62962962962963" style="1" customWidth="1"/>
    <col min="11" max="11" width="13.1111111111111" style="1" customWidth="1"/>
    <col min="12" max="12" width="9.62962962962963" style="1" customWidth="1"/>
    <col min="13" max="13" width="13.3333333333333" style="1" customWidth="1"/>
    <col min="14" max="14" width="13.4444444444444" style="1" customWidth="1"/>
    <col min="15" max="15" width="13.2222222222222" style="1" customWidth="1"/>
    <col min="16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>
        <v>219856</v>
      </c>
      <c r="D3" s="10"/>
      <c r="E3" s="10">
        <f t="shared" ref="E3:E8" si="0">C3+D3</f>
        <v>219856</v>
      </c>
      <c r="F3" s="10">
        <f>E3/1.09*9%</f>
        <v>18153.247706422</v>
      </c>
      <c r="G3" s="10">
        <f t="shared" ref="G3:G8" si="1">F3*0.07</f>
        <v>1270.72733944954</v>
      </c>
      <c r="H3" s="10">
        <f t="shared" ref="H3:H8" si="2">F3*0.03</f>
        <v>544.597431192661</v>
      </c>
      <c r="I3" s="10">
        <f t="shared" ref="I3:I8" si="3">F3*0.02</f>
        <v>363.06495412844</v>
      </c>
      <c r="J3" s="10">
        <f t="shared" ref="J3:J8" si="4">E3/1.05*0.0005</f>
        <v>104.693333333333</v>
      </c>
      <c r="K3" s="10"/>
      <c r="L3" s="10"/>
      <c r="M3" s="10"/>
      <c r="N3" s="10"/>
      <c r="O3" s="10"/>
      <c r="P3" s="10"/>
      <c r="Q3" s="10"/>
      <c r="R3" s="10"/>
      <c r="S3" s="11">
        <f t="shared" ref="S3:S15" si="5">SUM(F3:R3)</f>
        <v>20436.330764526</v>
      </c>
    </row>
    <row r="4" s="3" customFormat="1" ht="20" customHeight="1" spans="1:20">
      <c r="A4" s="8"/>
      <c r="B4" s="9" t="s">
        <v>22</v>
      </c>
      <c r="C4" s="10">
        <v>139025</v>
      </c>
      <c r="D4" s="10"/>
      <c r="E4" s="10">
        <f t="shared" si="0"/>
        <v>139025</v>
      </c>
      <c r="F4" s="10">
        <f>E4/1.09*9%</f>
        <v>11479.128440367</v>
      </c>
      <c r="G4" s="10">
        <f t="shared" si="1"/>
        <v>803.538990825688</v>
      </c>
      <c r="H4" s="10">
        <f t="shared" si="2"/>
        <v>344.373853211009</v>
      </c>
      <c r="I4" s="10">
        <f t="shared" si="3"/>
        <v>229.582568807339</v>
      </c>
      <c r="J4" s="10">
        <f t="shared" ref="J4:J6" si="6">E4*0.0005</f>
        <v>69.5125</v>
      </c>
      <c r="K4" s="10"/>
      <c r="L4" s="10"/>
      <c r="M4" s="10"/>
      <c r="N4" s="10"/>
      <c r="O4" s="10"/>
      <c r="P4" s="10"/>
      <c r="Q4" s="10"/>
      <c r="R4" s="10"/>
      <c r="S4" s="11">
        <f t="shared" si="5"/>
        <v>12926.136353211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0"/>
        <v>0</v>
      </c>
      <c r="F5" s="10">
        <f>E5/1.09*9%</f>
        <v>0</v>
      </c>
      <c r="G5" s="10">
        <f t="shared" si="1"/>
        <v>0</v>
      </c>
      <c r="H5" s="10">
        <f t="shared" si="2"/>
        <v>0</v>
      </c>
      <c r="I5" s="10">
        <f t="shared" si="3"/>
        <v>0</v>
      </c>
      <c r="J5" s="10">
        <f t="shared" si="6"/>
        <v>0</v>
      </c>
      <c r="K5" s="10"/>
      <c r="L5" s="10"/>
      <c r="M5" s="10"/>
      <c r="N5" s="10"/>
      <c r="O5" s="10"/>
      <c r="P5" s="10"/>
      <c r="Q5" s="10"/>
      <c r="R5" s="10"/>
      <c r="S5" s="11">
        <f t="shared" si="5"/>
        <v>0</v>
      </c>
    </row>
    <row r="6" s="3" customFormat="1" ht="20" customHeight="1" spans="1:20">
      <c r="A6" s="8" t="s">
        <v>24</v>
      </c>
      <c r="B6" s="9" t="s">
        <v>21</v>
      </c>
      <c r="C6" s="10"/>
      <c r="D6" s="10"/>
      <c r="E6" s="10">
        <f t="shared" si="0"/>
        <v>0</v>
      </c>
      <c r="F6" s="10">
        <f t="shared" ref="F6:F8" si="7">E6/1.05*0.05</f>
        <v>0</v>
      </c>
      <c r="G6" s="10">
        <f t="shared" si="1"/>
        <v>0</v>
      </c>
      <c r="H6" s="10">
        <f t="shared" si="2"/>
        <v>0</v>
      </c>
      <c r="I6" s="10">
        <f t="shared" si="3"/>
        <v>0</v>
      </c>
      <c r="J6" s="10">
        <f t="shared" si="6"/>
        <v>0</v>
      </c>
      <c r="K6" s="10"/>
      <c r="L6" s="10"/>
      <c r="M6" s="10"/>
      <c r="N6" s="10"/>
      <c r="O6" s="10"/>
      <c r="P6" s="10"/>
      <c r="Q6" s="10"/>
      <c r="R6" s="10"/>
      <c r="S6" s="11">
        <f t="shared" si="5"/>
        <v>0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0"/>
        <v>0</v>
      </c>
      <c r="F7" s="10">
        <f t="shared" si="7"/>
        <v>0</v>
      </c>
      <c r="G7" s="10">
        <f t="shared" si="1"/>
        <v>0</v>
      </c>
      <c r="H7" s="10">
        <f t="shared" si="2"/>
        <v>0</v>
      </c>
      <c r="I7" s="10">
        <f t="shared" si="3"/>
        <v>0</v>
      </c>
      <c r="J7" s="10">
        <f t="shared" si="4"/>
        <v>0</v>
      </c>
      <c r="K7" s="10">
        <f>(E7-F7)*0.03</f>
        <v>0</v>
      </c>
      <c r="L7" s="10"/>
      <c r="M7" s="10"/>
      <c r="N7" s="10"/>
      <c r="O7" s="10"/>
      <c r="P7" s="10"/>
      <c r="Q7" s="10"/>
      <c r="R7" s="10"/>
      <c r="S7" s="11">
        <f t="shared" si="5"/>
        <v>0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0"/>
        <v>0</v>
      </c>
      <c r="F8" s="10">
        <f t="shared" si="7"/>
        <v>0</v>
      </c>
      <c r="G8" s="10">
        <f t="shared" si="1"/>
        <v>0</v>
      </c>
      <c r="H8" s="10">
        <f t="shared" si="2"/>
        <v>0</v>
      </c>
      <c r="I8" s="10">
        <f t="shared" si="3"/>
        <v>0</v>
      </c>
      <c r="J8" s="10">
        <f t="shared" si="4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si="5"/>
        <v>0</v>
      </c>
    </row>
    <row r="9" s="3" customFormat="1" ht="20" customHeight="1" spans="1:20">
      <c r="A9" s="12" t="s">
        <v>33</v>
      </c>
      <c r="B9" s="9" t="s">
        <v>33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1">
        <f t="shared" si="5"/>
        <v>0</v>
      </c>
    </row>
    <row r="10" s="3" customFormat="1" ht="20" customHeight="1" spans="1:20">
      <c r="A10" s="12" t="s">
        <v>25</v>
      </c>
      <c r="B10" s="9" t="s">
        <v>20</v>
      </c>
      <c r="C10" s="10"/>
      <c r="D10" s="10">
        <f>16000</f>
        <v>16000</v>
      </c>
      <c r="E10" s="10">
        <f t="shared" ref="E10:E15" si="8">C10+D10</f>
        <v>16000</v>
      </c>
      <c r="F10" s="10">
        <f>E10/1.09*9%</f>
        <v>1321.10091743119</v>
      </c>
      <c r="G10" s="10">
        <f t="shared" ref="G10:G14" si="9">F10*0.07</f>
        <v>92.4770642201835</v>
      </c>
      <c r="H10" s="10">
        <f t="shared" ref="H10:H14" si="10">F10*0.03</f>
        <v>39.6330275229358</v>
      </c>
      <c r="I10" s="10">
        <f t="shared" ref="I10:I14" si="11">F10*0.02</f>
        <v>26.4220183486239</v>
      </c>
      <c r="J10" s="10">
        <f>E10*0.1%</f>
        <v>16</v>
      </c>
      <c r="K10" s="10"/>
      <c r="L10" s="10"/>
      <c r="M10" s="10"/>
      <c r="N10" s="10"/>
      <c r="O10" s="10"/>
      <c r="P10" s="10"/>
      <c r="Q10" s="10"/>
      <c r="R10" s="10"/>
      <c r="S10" s="11">
        <f t="shared" si="5"/>
        <v>1495.63302752294</v>
      </c>
    </row>
    <row r="11" s="3" customFormat="1" ht="20" customHeight="1" spans="1:20">
      <c r="A11" s="13"/>
      <c r="B11" s="9" t="s">
        <v>24</v>
      </c>
      <c r="C11" s="10"/>
      <c r="D11" s="10"/>
      <c r="E11" s="10">
        <f t="shared" si="8"/>
        <v>0</v>
      </c>
      <c r="F11" s="10">
        <f>E11/1.05*0.05</f>
        <v>0</v>
      </c>
      <c r="G11" s="10">
        <f t="shared" si="9"/>
        <v>0</v>
      </c>
      <c r="H11" s="10">
        <f>F11*3%</f>
        <v>0</v>
      </c>
      <c r="I11" s="10">
        <f>F11*2%</f>
        <v>0</v>
      </c>
      <c r="J11" s="10"/>
      <c r="K11" s="10"/>
      <c r="L11" s="10"/>
      <c r="M11" s="10"/>
      <c r="N11" s="10"/>
      <c r="O11" s="10"/>
      <c r="P11" s="10"/>
      <c r="Q11" s="10"/>
      <c r="R11" s="10"/>
      <c r="S11" s="11">
        <f t="shared" si="5"/>
        <v>0</v>
      </c>
    </row>
    <row r="12" s="3" customFormat="1" ht="20" customHeight="1" spans="1:20">
      <c r="A12" s="14"/>
      <c r="B12" s="9" t="s">
        <v>33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1">
        <f t="shared" si="5"/>
        <v>0</v>
      </c>
    </row>
    <row r="13" s="3" customFormat="1" ht="20" customHeight="1" spans="1:20">
      <c r="A13" s="8" t="s">
        <v>26</v>
      </c>
      <c r="B13" s="9" t="s">
        <v>27</v>
      </c>
      <c r="C13" s="10"/>
      <c r="D13" s="10"/>
      <c r="E13" s="10">
        <f t="shared" si="8"/>
        <v>0</v>
      </c>
      <c r="F13" s="10">
        <f>E13/1.05*0.05</f>
        <v>0</v>
      </c>
      <c r="G13" s="10">
        <f t="shared" si="9"/>
        <v>0</v>
      </c>
      <c r="H13" s="10">
        <f t="shared" si="10"/>
        <v>0</v>
      </c>
      <c r="I13" s="10">
        <f t="shared" si="11"/>
        <v>0</v>
      </c>
      <c r="J13" s="10"/>
      <c r="K13" s="10"/>
      <c r="L13" s="10"/>
      <c r="M13" s="10"/>
      <c r="N13" s="10"/>
      <c r="O13" s="10"/>
      <c r="P13" s="10"/>
      <c r="Q13" s="10"/>
      <c r="R13" s="10"/>
      <c r="S13" s="11">
        <f t="shared" si="5"/>
        <v>0</v>
      </c>
    </row>
    <row r="14" s="3" customFormat="1" ht="20" customHeight="1" spans="1:20">
      <c r="A14" s="8"/>
      <c r="B14" s="9" t="s">
        <v>28</v>
      </c>
      <c r="C14" s="10"/>
      <c r="D14" s="10"/>
      <c r="E14" s="10">
        <f t="shared" si="8"/>
        <v>0</v>
      </c>
      <c r="F14" s="10">
        <f>E14/1.06*0.06</f>
        <v>0</v>
      </c>
      <c r="G14" s="10">
        <f t="shared" si="9"/>
        <v>0</v>
      </c>
      <c r="H14" s="10">
        <f t="shared" si="10"/>
        <v>0</v>
      </c>
      <c r="I14" s="10">
        <f t="shared" si="11"/>
        <v>0</v>
      </c>
      <c r="J14" s="10"/>
      <c r="K14" s="10"/>
      <c r="L14" s="10"/>
      <c r="M14" s="10"/>
      <c r="N14" s="10"/>
      <c r="O14" s="10"/>
      <c r="P14" s="10"/>
      <c r="Q14" s="10"/>
      <c r="R14" s="10"/>
      <c r="S14" s="11">
        <f t="shared" si="5"/>
        <v>0</v>
      </c>
    </row>
    <row r="15" s="3" customFormat="1" ht="20" customHeight="1" spans="1:20">
      <c r="A15" s="8"/>
      <c r="B15" s="9" t="s">
        <v>29</v>
      </c>
      <c r="C15" s="10"/>
      <c r="D15" s="10"/>
      <c r="E15" s="10">
        <f t="shared" si="8"/>
        <v>0</v>
      </c>
      <c r="F15" s="10">
        <f>F3+F4</f>
        <v>29632.376146789</v>
      </c>
      <c r="G15" s="10">
        <f>G3+G4</f>
        <v>2074.26633027523</v>
      </c>
      <c r="H15" s="10">
        <f>H3+H4</f>
        <v>888.97128440367</v>
      </c>
      <c r="I15" s="10">
        <f>I3+I4</f>
        <v>592.64752293578</v>
      </c>
      <c r="J15" s="10"/>
      <c r="K15" s="10"/>
      <c r="L15" s="10"/>
      <c r="M15" s="10"/>
      <c r="N15" s="10"/>
      <c r="O15" s="10"/>
      <c r="P15" s="10"/>
      <c r="Q15" s="10"/>
      <c r="R15" s="10"/>
      <c r="S15" s="11">
        <f t="shared" si="5"/>
        <v>33188.2612844037</v>
      </c>
    </row>
    <row r="16" s="3" customFormat="1" ht="20" customHeight="1" spans="1:20">
      <c r="A16" s="15" t="s">
        <v>19</v>
      </c>
      <c r="B16" s="15"/>
      <c r="C16" s="16">
        <f t="shared" ref="C16:S16" si="12">SUM(C3:C14)-C15</f>
        <v>358881</v>
      </c>
      <c r="D16" s="16">
        <f t="shared" si="12"/>
        <v>16000</v>
      </c>
      <c r="E16" s="16">
        <f t="shared" si="12"/>
        <v>374881</v>
      </c>
      <c r="F16" s="16">
        <f t="shared" si="12"/>
        <v>1321.10091743119</v>
      </c>
      <c r="G16" s="16">
        <f t="shared" si="12"/>
        <v>92.4770642201834</v>
      </c>
      <c r="H16" s="16">
        <f t="shared" si="12"/>
        <v>39.6330275229358</v>
      </c>
      <c r="I16" s="16">
        <f t="shared" si="12"/>
        <v>26.4220183486239</v>
      </c>
      <c r="J16" s="16">
        <f t="shared" si="12"/>
        <v>190.205833333333</v>
      </c>
      <c r="K16" s="16">
        <f t="shared" si="12"/>
        <v>0</v>
      </c>
      <c r="L16" s="16">
        <f t="shared" si="12"/>
        <v>0</v>
      </c>
      <c r="M16" s="16">
        <f t="shared" si="12"/>
        <v>0</v>
      </c>
      <c r="N16" s="16">
        <f t="shared" si="12"/>
        <v>0</v>
      </c>
      <c r="O16" s="16">
        <f t="shared" si="12"/>
        <v>0</v>
      </c>
      <c r="P16" s="16">
        <f t="shared" si="12"/>
        <v>0</v>
      </c>
      <c r="Q16" s="16">
        <f t="shared" si="12"/>
        <v>0</v>
      </c>
      <c r="R16" s="16">
        <f t="shared" si="12"/>
        <v>0</v>
      </c>
      <c r="S16" s="16">
        <f t="shared" si="12"/>
        <v>1669.83886085627</v>
      </c>
      <c r="T16" s="17"/>
    </row>
    <row r="17" s="1" customFormat="1" customHeight="1" spans="2:25">
      <c r="B17" s="1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M17" s="18"/>
      <c r="N17" s="18"/>
      <c r="P17" s="18"/>
      <c r="Q17" s="18"/>
      <c r="R17" s="18"/>
      <c r="S17" s="18"/>
      <c r="T17" s="18"/>
    </row>
    <row r="18" s="1" customFormat="1" customHeight="1" spans="2:25">
      <c r="B18" s="1" t="s">
        <v>31</v>
      </c>
      <c r="F18" s="18"/>
      <c r="G18" s="18"/>
      <c r="H18" s="18"/>
      <c r="I18" s="18"/>
    </row>
    <row r="19" s="4" customFormat="1" ht="14.4" spans="2:25">
      <c r="B19" s="19" t="s">
        <v>34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  <c r="P19" s="21"/>
      <c r="Q19" s="21"/>
      <c r="R19" s="21"/>
      <c r="S19" s="21"/>
      <c r="T19" s="21"/>
      <c r="U19" s="21"/>
    </row>
    <row r="20" s="4" customFormat="1" ht="33" customHeight="1" spans="2:25">
      <c r="B20" s="22" t="s">
        <v>35</v>
      </c>
      <c r="C20" s="22" t="s">
        <v>36</v>
      </c>
      <c r="D20" s="23" t="s">
        <v>37</v>
      </c>
      <c r="E20" s="24" t="s">
        <v>38</v>
      </c>
      <c r="F20" s="24" t="s">
        <v>39</v>
      </c>
      <c r="G20" s="22" t="s">
        <v>40</v>
      </c>
      <c r="H20" s="25" t="s">
        <v>41</v>
      </c>
      <c r="I20" s="22" t="s">
        <v>42</v>
      </c>
      <c r="J20" s="22" t="s">
        <v>43</v>
      </c>
      <c r="K20" s="22" t="s">
        <v>44</v>
      </c>
      <c r="L20" s="22"/>
      <c r="M20" s="22" t="s">
        <v>45</v>
      </c>
      <c r="N20" s="22" t="s">
        <v>46</v>
      </c>
      <c r="O20" s="26" t="s">
        <v>47</v>
      </c>
      <c r="P20" s="27" t="s">
        <v>48</v>
      </c>
      <c r="Q20" s="21"/>
      <c r="R20" s="21"/>
      <c r="S20" s="21"/>
      <c r="T20" s="21"/>
      <c r="U20" s="21"/>
    </row>
    <row r="21" s="4" customFormat="1" ht="37" customHeight="1" spans="2:25">
      <c r="B21" s="22">
        <v>1</v>
      </c>
      <c r="C21" s="22" t="s">
        <v>49</v>
      </c>
      <c r="D21" s="28">
        <v>37188.2</v>
      </c>
      <c r="E21" s="28">
        <v>37057</v>
      </c>
      <c r="F21" s="29">
        <f>'[1]2024年9月成本结转'!$B$23</f>
        <v>1398.99</v>
      </c>
      <c r="G21" s="30">
        <v>1.29</v>
      </c>
      <c r="H21" s="30">
        <f>F21/G21</f>
        <v>1084.48837209302</v>
      </c>
      <c r="I21" s="28" t="s">
        <v>50</v>
      </c>
      <c r="J21" s="28">
        <v>6</v>
      </c>
      <c r="K21" s="29">
        <f t="shared" ref="K21:K23" si="13">ROUND(H21*J21,2)</f>
        <v>6506.93</v>
      </c>
      <c r="L21" s="29"/>
      <c r="M21" s="29">
        <f>ROUND(K21/2,2)</f>
        <v>3253.47</v>
      </c>
      <c r="N21" s="22" t="s">
        <v>51</v>
      </c>
      <c r="O21" s="31" t="s">
        <v>52</v>
      </c>
      <c r="P21" s="27" t="s">
        <v>53</v>
      </c>
      <c r="Q21" s="21"/>
      <c r="R21" s="21"/>
      <c r="S21" s="21"/>
      <c r="T21" s="21"/>
      <c r="U21" s="21"/>
    </row>
    <row r="22" s="4" customFormat="1" ht="43" customHeight="1" spans="2:25">
      <c r="B22" s="22">
        <v>2</v>
      </c>
      <c r="C22" s="22" t="s">
        <v>24</v>
      </c>
      <c r="D22" s="28">
        <v>27452.9</v>
      </c>
      <c r="E22" s="28"/>
      <c r="F22" s="29">
        <f>'[1]2024年9月成本结转'!$G$10</f>
        <v>382.02</v>
      </c>
      <c r="G22" s="30">
        <v>1.7</v>
      </c>
      <c r="H22" s="30">
        <f>F22/G22</f>
        <v>224.717647058824</v>
      </c>
      <c r="I22" s="28" t="s">
        <v>50</v>
      </c>
      <c r="J22" s="28">
        <v>6</v>
      </c>
      <c r="K22" s="29">
        <f t="shared" si="13"/>
        <v>1348.31</v>
      </c>
      <c r="L22" s="29"/>
      <c r="M22" s="29">
        <f>ROUND(K22/2,2)</f>
        <v>674.16</v>
      </c>
      <c r="N22" s="22" t="s">
        <v>54</v>
      </c>
      <c r="O22" s="31" t="s">
        <v>55</v>
      </c>
      <c r="P22" s="27" t="s">
        <v>53</v>
      </c>
      <c r="Q22" s="21"/>
      <c r="R22" s="21"/>
      <c r="S22" s="21"/>
      <c r="T22" s="21"/>
      <c r="U22" s="21"/>
    </row>
    <row r="23" s="4" customFormat="1" ht="37" customHeight="1" spans="2:25">
      <c r="B23" s="22">
        <v>3</v>
      </c>
      <c r="C23" s="22" t="s">
        <v>33</v>
      </c>
      <c r="D23" s="29">
        <v>51342.3</v>
      </c>
      <c r="E23" s="29">
        <v>51342.3</v>
      </c>
      <c r="F23" s="29"/>
      <c r="G23" s="30">
        <v>1</v>
      </c>
      <c r="H23" s="30">
        <f>D23/G23</f>
        <v>51342.3</v>
      </c>
      <c r="I23" s="28" t="s">
        <v>50</v>
      </c>
      <c r="J23" s="28">
        <v>3</v>
      </c>
      <c r="K23" s="29">
        <f t="shared" si="13"/>
        <v>154026.9</v>
      </c>
      <c r="L23" s="29"/>
      <c r="M23" s="29">
        <f>K23/2</f>
        <v>77013.45</v>
      </c>
      <c r="N23" s="22"/>
      <c r="O23" s="31" t="s">
        <v>56</v>
      </c>
      <c r="P23" s="27" t="s">
        <v>57</v>
      </c>
      <c r="Q23" s="21"/>
      <c r="R23" s="21"/>
      <c r="S23" s="21"/>
      <c r="T23" s="21"/>
      <c r="U23" s="21"/>
    </row>
    <row r="24" s="4" customFormat="1" ht="19" customHeight="1" spans="2:25">
      <c r="B24" s="22" t="s">
        <v>19</v>
      </c>
      <c r="C24" s="22"/>
      <c r="D24" s="28"/>
      <c r="E24" s="28"/>
      <c r="F24" s="29">
        <f>SUM(F21:F23)</f>
        <v>1781.01</v>
      </c>
      <c r="G24" s="30"/>
      <c r="H24" s="30"/>
      <c r="I24" s="30"/>
      <c r="J24" s="30"/>
      <c r="K24" s="29">
        <f>SUM(K21:K23)</f>
        <v>161882.14</v>
      </c>
      <c r="L24" s="29"/>
      <c r="M24" s="29">
        <f>SUM(M21:M23)</f>
        <v>80941.08</v>
      </c>
      <c r="N24" s="22"/>
      <c r="O24" s="26"/>
      <c r="P24" s="26"/>
      <c r="Q24" s="21"/>
      <c r="R24" s="21"/>
      <c r="S24" s="21"/>
      <c r="T24" s="21"/>
      <c r="U24" s="21"/>
    </row>
    <row r="25" s="5" customFormat="1" ht="22.5" customHeight="1" spans="2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2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2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2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2:25">
      <c r="C29" s="32"/>
      <c r="D29" s="32"/>
      <c r="E29" s="32"/>
      <c r="F29" s="32"/>
      <c r="G29" s="32"/>
      <c r="H29" s="32"/>
      <c r="I29" s="32"/>
      <c r="J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2:25">
      <c r="C30" s="32"/>
      <c r="D30" s="32"/>
      <c r="E30" s="32"/>
      <c r="F30" s="32"/>
      <c r="G30" s="32"/>
      <c r="H30" s="32"/>
      <c r="I30" s="32"/>
      <c r="J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2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  <row r="32" s="5" customFormat="1" ht="22.5" customHeight="1" spans="2:25">
      <c r="C32" s="32"/>
      <c r="D32" s="32"/>
      <c r="E32" s="32"/>
      <c r="F32" s="32"/>
      <c r="G32" s="32"/>
      <c r="O32" s="33"/>
      <c r="P32" s="33"/>
      <c r="Q32" s="33"/>
      <c r="R32" s="33"/>
      <c r="S32" s="33"/>
      <c r="T32" s="34"/>
      <c r="U32" s="35"/>
      <c r="X32" s="36"/>
      <c r="Y32" s="36"/>
    </row>
    <row r="33" s="5" customFormat="1" ht="22.5" customHeight="1" spans="3:25">
      <c r="C33" s="32"/>
      <c r="D33" s="32"/>
      <c r="E33" s="32"/>
      <c r="F33" s="32"/>
      <c r="G33" s="32"/>
      <c r="O33" s="33"/>
      <c r="P33" s="33"/>
      <c r="Q33" s="33"/>
      <c r="R33" s="33"/>
      <c r="S33" s="33"/>
      <c r="T33" s="34"/>
      <c r="U33" s="35"/>
      <c r="X33" s="36"/>
      <c r="Y33" s="36"/>
    </row>
  </sheetData>
  <mergeCells count="5">
    <mergeCell ref="A1:S1"/>
    <mergeCell ref="A16:B16"/>
    <mergeCell ref="A3:A5"/>
    <mergeCell ref="A6:A8"/>
    <mergeCell ref="A10:A12"/>
  </mergeCells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6"/>
  <sheetViews>
    <sheetView topLeftCell="A10" workbookViewId="0">
      <selection activeCell="A16" sqref="$A16:$XFD21"/>
    </sheetView>
  </sheetViews>
  <sheetFormatPr defaultColWidth="8.88888888888889" defaultRowHeight="14.4"/>
  <cols>
    <col min="2" max="2" width="29.1111111111111" customWidth="1"/>
    <col min="3" max="3" width="16.4444444444444" customWidth="1"/>
    <col min="4" max="4" width="13" customWidth="1"/>
    <col min="5" max="5" width="13.1111111111111" customWidth="1"/>
    <col min="6" max="6" width="23.1111111111111" customWidth="1"/>
    <col min="7" max="7" width="18.5555555555556" customWidth="1"/>
    <col min="8" max="8" width="14.1111111111111" customWidth="1"/>
    <col min="9" max="9" width="16.1111111111111" customWidth="1"/>
    <col min="10" max="10" width="12.6666666666667" customWidth="1"/>
    <col min="11" max="11" width="14.1111111111111" customWidth="1"/>
    <col min="13" max="13" width="14.3333333333333" customWidth="1"/>
    <col min="14" max="14" width="10.7777777777778" customWidth="1"/>
    <col min="15" max="15" width="31.2222222222222" customWidth="1"/>
    <col min="16" max="16" width="11.2222222222222" customWidth="1"/>
  </cols>
  <sheetData>
    <row r="1" s="37" customFormat="1" ht="15.6" spans="2:21 16384:16384">
      <c r="B1" s="39"/>
      <c r="C1" s="39"/>
      <c r="D1" s="40"/>
      <c r="E1" s="41"/>
      <c r="G1" s="42"/>
      <c r="O1" s="43" t="e">
        <f>+#REF!+I15</f>
        <v>#REF!</v>
      </c>
      <c r="P1" s="44"/>
      <c r="Q1" s="44"/>
      <c r="R1" s="44"/>
      <c r="S1" s="44"/>
      <c r="T1" s="44"/>
      <c r="U1" s="44"/>
      <c r="XFD1" s="45"/>
    </row>
    <row r="2" s="37" customFormat="1" ht="24" customHeight="1" spans="2:21 16384:16384">
      <c r="B2" s="46" t="s">
        <v>58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  <c r="O2" s="43" t="e">
        <f>+#REF!+G15</f>
        <v>#REF!</v>
      </c>
      <c r="P2" s="44"/>
      <c r="Q2" s="44"/>
      <c r="R2" s="44"/>
      <c r="S2" s="44"/>
      <c r="T2" s="44"/>
      <c r="U2" s="44"/>
      <c r="XFD2" s="45"/>
    </row>
    <row r="3" s="38" customFormat="1" ht="24" spans="2:21 16384:16384">
      <c r="B3" s="42" t="s">
        <v>59</v>
      </c>
      <c r="C3" s="42"/>
      <c r="D3" s="42" t="s">
        <v>60</v>
      </c>
      <c r="E3" s="42" t="s">
        <v>61</v>
      </c>
      <c r="F3" s="42" t="s">
        <v>62</v>
      </c>
      <c r="G3" s="42" t="s">
        <v>63</v>
      </c>
      <c r="H3" s="42" t="s">
        <v>64</v>
      </c>
      <c r="I3" s="49" t="s">
        <v>65</v>
      </c>
      <c r="J3" s="42"/>
      <c r="K3" s="42" t="s">
        <v>64</v>
      </c>
      <c r="L3" s="42"/>
      <c r="M3" s="42" t="s">
        <v>66</v>
      </c>
      <c r="N3" s="50" t="s">
        <v>67</v>
      </c>
      <c r="O3" s="43"/>
      <c r="P3" s="51"/>
      <c r="Q3" s="51"/>
      <c r="R3" s="51"/>
      <c r="S3" s="51"/>
      <c r="T3" s="51"/>
      <c r="U3" s="51"/>
      <c r="XFD3" s="52"/>
    </row>
    <row r="4" s="37" customFormat="1" ht="19" customHeight="1" spans="2:21 16384:16384">
      <c r="B4" s="42" t="s">
        <v>68</v>
      </c>
      <c r="C4" s="42" t="s">
        <v>69</v>
      </c>
      <c r="D4" s="42">
        <v>90.28</v>
      </c>
      <c r="E4" s="53"/>
      <c r="F4" s="42">
        <v>0.12</v>
      </c>
      <c r="G4" s="53">
        <f t="shared" ref="G4:G7" si="0">ROUND(E4*F4,2)</f>
        <v>0</v>
      </c>
      <c r="H4" s="53">
        <v>2595.83430689027</v>
      </c>
      <c r="I4" s="53">
        <f t="shared" ref="I4:I14" si="1">G4</f>
        <v>0</v>
      </c>
      <c r="J4" s="53"/>
      <c r="K4" s="53">
        <v>2595.83430689027</v>
      </c>
      <c r="L4" s="53"/>
      <c r="M4" s="53">
        <f t="shared" ref="M4:M13" si="2">K4*D4</f>
        <v>234351.921226054</v>
      </c>
      <c r="N4" s="54"/>
      <c r="O4" s="55" t="s">
        <v>70</v>
      </c>
      <c r="P4" s="44"/>
      <c r="Q4" s="44"/>
      <c r="R4" s="44"/>
      <c r="S4" s="44"/>
      <c r="T4" s="44"/>
      <c r="U4" s="44"/>
      <c r="XFD4" s="45"/>
    </row>
    <row r="5" s="37" customFormat="1" ht="24" customHeight="1" spans="2:21 16384:16384">
      <c r="B5" s="42" t="s">
        <v>68</v>
      </c>
      <c r="C5" s="42" t="s">
        <v>71</v>
      </c>
      <c r="D5" s="42">
        <v>90.26</v>
      </c>
      <c r="E5" s="53"/>
      <c r="F5" s="42">
        <v>0.12</v>
      </c>
      <c r="G5" s="53">
        <f t="shared" si="0"/>
        <v>0</v>
      </c>
      <c r="H5" s="53">
        <v>2595.83430689027</v>
      </c>
      <c r="I5" s="53">
        <f t="shared" si="1"/>
        <v>0</v>
      </c>
      <c r="J5" s="53"/>
      <c r="K5" s="53">
        <v>2595.83430689027</v>
      </c>
      <c r="L5" s="53"/>
      <c r="M5" s="53">
        <f t="shared" si="2"/>
        <v>234300.004539916</v>
      </c>
      <c r="N5" s="56"/>
      <c r="O5" s="55" t="s">
        <v>70</v>
      </c>
      <c r="P5" s="44"/>
      <c r="Q5" s="44"/>
      <c r="R5" s="44"/>
      <c r="S5" s="44"/>
      <c r="T5" s="44"/>
      <c r="U5" s="44"/>
      <c r="XFD5" s="45"/>
    </row>
    <row r="6" s="37" customFormat="1" ht="19" customHeight="1" spans="2:21 16384:16384">
      <c r="B6" s="42" t="s">
        <v>68</v>
      </c>
      <c r="C6" s="42" t="s">
        <v>72</v>
      </c>
      <c r="D6" s="42">
        <v>19.46</v>
      </c>
      <c r="E6" s="53"/>
      <c r="F6" s="42">
        <v>0.12</v>
      </c>
      <c r="G6" s="53">
        <f t="shared" si="0"/>
        <v>0</v>
      </c>
      <c r="H6" s="53">
        <v>2595.83430689027</v>
      </c>
      <c r="I6" s="53">
        <f t="shared" si="1"/>
        <v>0</v>
      </c>
      <c r="J6" s="53"/>
      <c r="K6" s="53">
        <v>2595.83430689027</v>
      </c>
      <c r="L6" s="53"/>
      <c r="M6" s="53">
        <f t="shared" si="2"/>
        <v>50514.9356120847</v>
      </c>
      <c r="N6" s="54"/>
      <c r="O6" s="55" t="s">
        <v>70</v>
      </c>
      <c r="P6" s="44"/>
      <c r="Q6" s="44"/>
      <c r="R6" s="44"/>
      <c r="S6" s="44"/>
      <c r="T6" s="44"/>
      <c r="U6" s="44"/>
      <c r="XFD6" s="45"/>
    </row>
    <row r="7" s="37" customFormat="1" ht="19" customHeight="1" spans="2:21 16384:16384">
      <c r="B7" s="42" t="s">
        <v>68</v>
      </c>
      <c r="C7" s="42" t="s">
        <v>73</v>
      </c>
      <c r="D7" s="42">
        <v>16.38</v>
      </c>
      <c r="E7" s="53"/>
      <c r="F7" s="42">
        <v>0.12</v>
      </c>
      <c r="G7" s="53">
        <f t="shared" si="0"/>
        <v>0</v>
      </c>
      <c r="H7" s="53">
        <v>2595.83430689027</v>
      </c>
      <c r="I7" s="53">
        <f t="shared" si="1"/>
        <v>0</v>
      </c>
      <c r="J7" s="53"/>
      <c r="K7" s="53">
        <v>2595.83430689027</v>
      </c>
      <c r="L7" s="53"/>
      <c r="M7" s="53">
        <f t="shared" si="2"/>
        <v>42519.7659468626</v>
      </c>
      <c r="N7" s="54"/>
      <c r="O7" s="55"/>
      <c r="P7" s="44"/>
      <c r="Q7" s="44"/>
      <c r="R7" s="44"/>
      <c r="S7" s="44"/>
      <c r="T7" s="44"/>
      <c r="U7" s="44"/>
      <c r="XFD7" s="45"/>
    </row>
    <row r="8" s="37" customFormat="1" ht="19" customHeight="1" spans="2:21 16384:16384">
      <c r="B8" s="42" t="s">
        <v>68</v>
      </c>
      <c r="C8" s="49" t="s">
        <v>74</v>
      </c>
      <c r="D8" s="42">
        <v>70.04</v>
      </c>
      <c r="E8" s="53"/>
      <c r="F8" s="42">
        <v>0.12</v>
      </c>
      <c r="G8" s="53">
        <f t="shared" ref="G8:G11" si="3">E8/1.09*F8</f>
        <v>0</v>
      </c>
      <c r="H8" s="53">
        <v>2595.83430689027</v>
      </c>
      <c r="I8" s="53">
        <f t="shared" si="1"/>
        <v>0</v>
      </c>
      <c r="J8" s="53"/>
      <c r="K8" s="53">
        <v>2595.83430689027</v>
      </c>
      <c r="L8" s="53"/>
      <c r="M8" s="53">
        <f t="shared" si="2"/>
        <v>181812.234854595</v>
      </c>
      <c r="N8" s="54">
        <f t="shared" ref="N8:N11" si="4">E8/1.09</f>
        <v>0</v>
      </c>
      <c r="O8" s="55"/>
      <c r="P8" s="44"/>
      <c r="Q8" s="44"/>
      <c r="R8" s="44"/>
      <c r="S8" s="44"/>
      <c r="T8" s="44"/>
      <c r="U8" s="44"/>
      <c r="XFD8" s="45"/>
    </row>
    <row r="9" s="37" customFormat="1" ht="19" customHeight="1" spans="2:21 16384:16384">
      <c r="B9" s="42" t="s">
        <v>68</v>
      </c>
      <c r="C9" s="42" t="s">
        <v>75</v>
      </c>
      <c r="D9" s="42">
        <v>19.71</v>
      </c>
      <c r="E9" s="53"/>
      <c r="F9" s="42">
        <v>0.12</v>
      </c>
      <c r="G9" s="53">
        <f t="shared" si="3"/>
        <v>0</v>
      </c>
      <c r="H9" s="53">
        <v>2595.83430689027</v>
      </c>
      <c r="I9" s="53">
        <f t="shared" si="1"/>
        <v>0</v>
      </c>
      <c r="J9" s="53"/>
      <c r="K9" s="53">
        <v>2595.83430689027</v>
      </c>
      <c r="L9" s="53"/>
      <c r="M9" s="53">
        <f t="shared" si="2"/>
        <v>51163.8941888072</v>
      </c>
      <c r="N9" s="54">
        <f t="shared" si="4"/>
        <v>0</v>
      </c>
      <c r="O9" s="55"/>
      <c r="P9" s="44"/>
      <c r="Q9" s="44"/>
      <c r="R9" s="44"/>
      <c r="S9" s="44"/>
      <c r="T9" s="44"/>
      <c r="U9" s="44"/>
      <c r="XFD9" s="45"/>
    </row>
    <row r="10" s="37" customFormat="1" ht="19" customHeight="1" spans="2:21 16384:16384">
      <c r="B10" s="42" t="s">
        <v>68</v>
      </c>
      <c r="C10" s="42" t="s">
        <v>76</v>
      </c>
      <c r="D10" s="57">
        <v>19.18</v>
      </c>
      <c r="E10" s="53"/>
      <c r="F10" s="42">
        <v>0.12</v>
      </c>
      <c r="G10" s="53">
        <f t="shared" si="3"/>
        <v>0</v>
      </c>
      <c r="H10" s="53">
        <v>2595.83430689027</v>
      </c>
      <c r="I10" s="53">
        <f t="shared" si="1"/>
        <v>0</v>
      </c>
      <c r="J10" s="53"/>
      <c r="K10" s="53">
        <v>2595.83430689027</v>
      </c>
      <c r="L10" s="53"/>
      <c r="M10" s="53">
        <f t="shared" si="2"/>
        <v>49788.1020061554</v>
      </c>
      <c r="N10" s="54">
        <f t="shared" si="4"/>
        <v>0</v>
      </c>
      <c r="O10" s="55"/>
      <c r="P10" s="44"/>
      <c r="Q10" s="44"/>
      <c r="R10" s="44"/>
      <c r="S10" s="44"/>
      <c r="T10" s="44"/>
      <c r="U10" s="44"/>
      <c r="XFD10" s="45"/>
    </row>
    <row r="11" s="37" customFormat="1" ht="19" customHeight="1" spans="2:21 16384:16384">
      <c r="B11" s="42" t="s">
        <v>68</v>
      </c>
      <c r="C11" s="42" t="s">
        <v>77</v>
      </c>
      <c r="D11" s="57">
        <v>65.19</v>
      </c>
      <c r="E11" s="53"/>
      <c r="F11" s="42">
        <v>0.12</v>
      </c>
      <c r="G11" s="53">
        <f t="shared" si="3"/>
        <v>0</v>
      </c>
      <c r="H11" s="53">
        <v>2595.83430689027</v>
      </c>
      <c r="I11" s="53">
        <f t="shared" si="1"/>
        <v>0</v>
      </c>
      <c r="J11" s="53"/>
      <c r="K11" s="53">
        <v>2595.83430689027</v>
      </c>
      <c r="L11" s="53"/>
      <c r="M11" s="53">
        <f t="shared" si="2"/>
        <v>169222.438466177</v>
      </c>
      <c r="N11" s="54">
        <f t="shared" si="4"/>
        <v>0</v>
      </c>
      <c r="O11" s="55"/>
      <c r="P11" s="44"/>
      <c r="Q11" s="44"/>
      <c r="R11" s="44"/>
      <c r="S11" s="44"/>
      <c r="T11" s="44"/>
      <c r="U11" s="44"/>
      <c r="XFD11" s="45"/>
    </row>
    <row r="12" s="37" customFormat="1" ht="19" customHeight="1" spans="2:21 16384:16384">
      <c r="B12" s="42" t="s">
        <v>68</v>
      </c>
      <c r="C12" s="49" t="s">
        <v>49</v>
      </c>
      <c r="D12" s="57">
        <v>90.28</v>
      </c>
      <c r="E12" s="58"/>
      <c r="F12" s="42">
        <v>0.12</v>
      </c>
      <c r="G12" s="53">
        <f>E12*F12</f>
        <v>0</v>
      </c>
      <c r="H12" s="53"/>
      <c r="I12" s="53">
        <f t="shared" si="1"/>
        <v>0</v>
      </c>
      <c r="J12" s="53"/>
      <c r="K12" s="53">
        <v>2595.83430689027</v>
      </c>
      <c r="L12" s="53"/>
      <c r="M12" s="53">
        <f t="shared" si="2"/>
        <v>234351.921226054</v>
      </c>
      <c r="N12" s="54"/>
      <c r="O12" s="55">
        <f>E12/1.09</f>
        <v>0</v>
      </c>
      <c r="P12" s="44"/>
      <c r="Q12" s="44"/>
      <c r="R12" s="44"/>
      <c r="S12" s="44"/>
      <c r="T12" s="44"/>
      <c r="U12" s="44"/>
      <c r="XFD12" s="45"/>
    </row>
    <row r="13" s="37" customFormat="1" ht="19" customHeight="1" spans="2:21 16384:16384">
      <c r="B13" s="42" t="s">
        <v>68</v>
      </c>
      <c r="C13" s="42" t="s">
        <v>24</v>
      </c>
      <c r="D13" s="42">
        <v>33.37</v>
      </c>
      <c r="E13" s="58"/>
      <c r="F13" s="42">
        <v>0.12</v>
      </c>
      <c r="G13" s="53">
        <f>E13*F13</f>
        <v>0</v>
      </c>
      <c r="H13" s="53"/>
      <c r="I13" s="53">
        <f t="shared" si="1"/>
        <v>0</v>
      </c>
      <c r="J13" s="53"/>
      <c r="K13" s="53">
        <f>(3361993.25-76015.96-505534.97)/1351.05</f>
        <v>2057.98624773324</v>
      </c>
      <c r="L13" s="53"/>
      <c r="M13" s="53">
        <f t="shared" si="2"/>
        <v>68675.0010868584</v>
      </c>
      <c r="N13" s="54"/>
      <c r="O13" s="55" t="s">
        <v>78</v>
      </c>
      <c r="P13" s="44"/>
      <c r="Q13" s="44"/>
      <c r="R13" s="44"/>
      <c r="S13" s="44"/>
      <c r="T13" s="44"/>
      <c r="U13" s="44"/>
      <c r="XFD13" s="45"/>
    </row>
    <row r="14" s="37" customFormat="1" ht="19" customHeight="1" spans="2:21 16384:16384">
      <c r="B14" s="42" t="s">
        <v>68</v>
      </c>
      <c r="C14" s="49"/>
      <c r="D14" s="42"/>
      <c r="E14" s="59"/>
      <c r="F14" s="42">
        <v>0.12</v>
      </c>
      <c r="G14" s="53">
        <f>E14/1.09*F14</f>
        <v>0</v>
      </c>
      <c r="H14" s="53"/>
      <c r="I14" s="53">
        <f t="shared" si="1"/>
        <v>0</v>
      </c>
      <c r="J14" s="53"/>
      <c r="K14" s="53">
        <f>(3361993.25-76015.96-505534.97)/1351.05</f>
        <v>2057.98624773324</v>
      </c>
      <c r="L14" s="53"/>
      <c r="M14" s="53">
        <f>D14*K14</f>
        <v>0</v>
      </c>
      <c r="N14" s="54"/>
      <c r="O14" s="55">
        <f>E14/1.05</f>
        <v>0</v>
      </c>
      <c r="P14" s="44"/>
      <c r="Q14" s="44"/>
      <c r="R14" s="44"/>
      <c r="S14" s="44"/>
      <c r="T14" s="44"/>
      <c r="U14" s="44"/>
      <c r="XFD14" s="45"/>
    </row>
    <row r="15" s="37" customFormat="1" ht="20" customHeight="1" spans="2:21 16384:16384">
      <c r="B15" s="42" t="s">
        <v>19</v>
      </c>
      <c r="C15" s="42"/>
      <c r="D15" s="42"/>
      <c r="E15" s="53">
        <f>SUM(E4:E14)</f>
        <v>0</v>
      </c>
      <c r="F15" s="42"/>
      <c r="G15" s="53">
        <f>SUM(G4:G14)+0.01</f>
        <v>0.01</v>
      </c>
      <c r="H15" s="53"/>
      <c r="I15" s="53">
        <f>SUM(I4:I14)+0.01</f>
        <v>0.01</v>
      </c>
      <c r="J15" s="53"/>
      <c r="K15" s="53"/>
      <c r="L15" s="53"/>
      <c r="M15" s="53"/>
      <c r="N15" s="54">
        <f>SUM(N4:N14)</f>
        <v>0</v>
      </c>
      <c r="O15" s="60" t="e">
        <f>+#REF!+I15</f>
        <v>#REF!</v>
      </c>
      <c r="P15" s="44"/>
      <c r="Q15" s="44"/>
      <c r="R15" s="44"/>
      <c r="S15" s="44"/>
      <c r="T15" s="44"/>
      <c r="U15" s="44"/>
      <c r="XFD15" s="45"/>
    </row>
    <row r="16" s="4" customFormat="1" spans="2:21 16384:16384">
      <c r="B16" s="19" t="s">
        <v>34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20"/>
      <c r="P16" s="21"/>
      <c r="Q16" s="21"/>
      <c r="R16" s="21"/>
      <c r="S16" s="21"/>
      <c r="T16" s="21"/>
      <c r="U16" s="21"/>
    </row>
    <row r="17" s="4" customFormat="1" ht="33" customHeight="1" spans="1:21 16384:16384">
      <c r="B17" s="22" t="s">
        <v>35</v>
      </c>
      <c r="C17" s="22" t="s">
        <v>36</v>
      </c>
      <c r="D17" s="23" t="s">
        <v>37</v>
      </c>
      <c r="E17" s="24" t="s">
        <v>38</v>
      </c>
      <c r="F17" s="24" t="s">
        <v>39</v>
      </c>
      <c r="G17" s="22" t="s">
        <v>40</v>
      </c>
      <c r="H17" s="25" t="s">
        <v>41</v>
      </c>
      <c r="I17" s="22" t="s">
        <v>42</v>
      </c>
      <c r="J17" s="22" t="s">
        <v>43</v>
      </c>
      <c r="K17" s="22" t="s">
        <v>44</v>
      </c>
      <c r="L17" s="22"/>
      <c r="M17" s="22" t="s">
        <v>45</v>
      </c>
      <c r="N17" s="22" t="s">
        <v>46</v>
      </c>
      <c r="O17" s="26" t="s">
        <v>47</v>
      </c>
      <c r="P17" s="27" t="s">
        <v>48</v>
      </c>
      <c r="Q17" s="21"/>
      <c r="R17" s="21"/>
      <c r="S17" s="21"/>
      <c r="T17" s="21"/>
      <c r="U17" s="21"/>
    </row>
    <row r="18" s="4" customFormat="1" ht="27" customHeight="1" spans="1:21 16384:16384">
      <c r="B18" s="22">
        <v>1</v>
      </c>
      <c r="C18" s="22" t="s">
        <v>49</v>
      </c>
      <c r="D18" s="28">
        <v>37188.2</v>
      </c>
      <c r="E18" s="28">
        <v>37057</v>
      </c>
      <c r="F18" s="29">
        <f>'[1]2024年9月成本结转'!$B$23</f>
        <v>1398.99</v>
      </c>
      <c r="G18" s="30">
        <v>1.29</v>
      </c>
      <c r="H18" s="30">
        <f>F18/G18</f>
        <v>1084.48837209302</v>
      </c>
      <c r="I18" s="28" t="s">
        <v>50</v>
      </c>
      <c r="J18" s="28">
        <v>6</v>
      </c>
      <c r="K18" s="29">
        <f>ROUND(H18*J18,2)</f>
        <v>6506.93</v>
      </c>
      <c r="L18" s="29"/>
      <c r="M18" s="29">
        <f>ROUND(K18/2,2)</f>
        <v>3253.47</v>
      </c>
      <c r="N18" s="22" t="s">
        <v>51</v>
      </c>
      <c r="O18" s="31" t="s">
        <v>52</v>
      </c>
      <c r="P18" s="27" t="s">
        <v>53</v>
      </c>
      <c r="Q18" s="21"/>
      <c r="R18" s="21"/>
      <c r="S18" s="21"/>
      <c r="T18" s="21"/>
      <c r="U18" s="21"/>
    </row>
    <row r="19" s="4" customFormat="1" ht="27" customHeight="1" spans="1:21 16384:16384">
      <c r="B19" s="22">
        <v>2</v>
      </c>
      <c r="C19" s="22" t="s">
        <v>24</v>
      </c>
      <c r="D19" s="28">
        <v>27452.9</v>
      </c>
      <c r="E19" s="28"/>
      <c r="F19" s="29">
        <f>'[1]2024年9月成本结转'!$G$10</f>
        <v>382.02</v>
      </c>
      <c r="G19" s="30">
        <v>1.7</v>
      </c>
      <c r="H19" s="30">
        <f>F19/G19</f>
        <v>224.717647058824</v>
      </c>
      <c r="I19" s="28" t="s">
        <v>50</v>
      </c>
      <c r="J19" s="28">
        <v>6</v>
      </c>
      <c r="K19" s="29">
        <f t="shared" ref="K18:K20" si="5">ROUND(H19*J19,2)</f>
        <v>1348.31</v>
      </c>
      <c r="L19" s="29"/>
      <c r="M19" s="29">
        <f>ROUND(K19/2,2)</f>
        <v>674.16</v>
      </c>
      <c r="N19" s="22" t="s">
        <v>54</v>
      </c>
      <c r="O19" s="31" t="s">
        <v>55</v>
      </c>
      <c r="P19" s="27" t="s">
        <v>53</v>
      </c>
      <c r="Q19" s="21"/>
      <c r="R19" s="21"/>
      <c r="S19" s="21"/>
      <c r="T19" s="21"/>
      <c r="U19" s="21"/>
    </row>
    <row r="20" s="4" customFormat="1" ht="27" customHeight="1" spans="1:21 16384:16384">
      <c r="B20" s="22">
        <v>3</v>
      </c>
      <c r="C20" s="22" t="s">
        <v>33</v>
      </c>
      <c r="D20" s="29">
        <v>51342.3</v>
      </c>
      <c r="E20" s="29">
        <v>51342.3</v>
      </c>
      <c r="F20" s="29"/>
      <c r="G20" s="30">
        <v>1</v>
      </c>
      <c r="H20" s="30">
        <f>D20/G20</f>
        <v>51342.3</v>
      </c>
      <c r="I20" s="28" t="s">
        <v>50</v>
      </c>
      <c r="J20" s="28">
        <v>3</v>
      </c>
      <c r="K20" s="29">
        <f t="shared" si="5"/>
        <v>154026.9</v>
      </c>
      <c r="L20" s="29"/>
      <c r="M20" s="29">
        <f>K20/2</f>
        <v>77013.45</v>
      </c>
      <c r="N20" s="22"/>
      <c r="O20" s="31" t="s">
        <v>56</v>
      </c>
      <c r="P20" s="27" t="s">
        <v>57</v>
      </c>
      <c r="Q20" s="21"/>
      <c r="R20" s="21"/>
      <c r="S20" s="21"/>
      <c r="T20" s="21"/>
      <c r="U20" s="21"/>
    </row>
    <row r="21" s="4" customFormat="1" ht="19" customHeight="1" spans="1:21 16384:16384">
      <c r="B21" s="22" t="s">
        <v>19</v>
      </c>
      <c r="C21" s="22"/>
      <c r="D21" s="28"/>
      <c r="E21" s="28"/>
      <c r="F21" s="29">
        <f>SUM(F18:F20)</f>
        <v>1781.01</v>
      </c>
      <c r="G21" s="30"/>
      <c r="H21" s="30"/>
      <c r="I21" s="30"/>
      <c r="J21" s="30"/>
      <c r="K21" s="29">
        <f>SUM(K18:K20)</f>
        <v>161882.14</v>
      </c>
      <c r="L21" s="29"/>
      <c r="M21" s="29">
        <f>SUM(M18:M20)</f>
        <v>80941.08</v>
      </c>
      <c r="N21" s="22"/>
      <c r="O21" s="26"/>
      <c r="P21" s="26"/>
      <c r="Q21" s="21"/>
      <c r="R21" s="21"/>
      <c r="S21" s="21"/>
      <c r="T21" s="21"/>
      <c r="U21" s="21"/>
    </row>
    <row r="22" s="37" customFormat="1" ht="15.6" spans="1:21 16384:16384">
      <c r="B22" s="39"/>
      <c r="C22" s="39"/>
      <c r="D22" s="40"/>
      <c r="E22" s="41"/>
      <c r="O22" s="44"/>
      <c r="P22" s="44"/>
      <c r="Q22" s="44"/>
      <c r="R22" s="44"/>
      <c r="S22" s="44"/>
      <c r="T22" s="44"/>
      <c r="U22" s="44"/>
      <c r="XFD22" s="45"/>
    </row>
    <row r="23" s="37" customFormat="1" ht="20" customHeight="1" spans="1:21 16384:16384">
      <c r="A23" s="61"/>
      <c r="B23" s="62" t="s">
        <v>58</v>
      </c>
      <c r="C23" s="62"/>
      <c r="D23" s="62"/>
      <c r="E23" s="62"/>
      <c r="F23" s="62"/>
      <c r="G23" s="62"/>
      <c r="H23" s="62"/>
      <c r="I23" s="62"/>
      <c r="J23" s="62"/>
      <c r="K23" s="62"/>
      <c r="L23" s="63"/>
      <c r="O23" s="44"/>
      <c r="P23" s="44"/>
      <c r="Q23" s="44"/>
      <c r="R23" s="44"/>
      <c r="S23" s="44"/>
      <c r="T23" s="44"/>
      <c r="U23" s="44"/>
    </row>
    <row r="24" s="37" customFormat="1" ht="34" customHeight="1" spans="1:21 16384:16384">
      <c r="A24" s="61"/>
      <c r="B24" s="64" t="s">
        <v>59</v>
      </c>
      <c r="C24" s="65"/>
      <c r="D24" s="24" t="s">
        <v>39</v>
      </c>
      <c r="E24" s="64" t="s">
        <v>79</v>
      </c>
      <c r="F24" s="66" t="s">
        <v>66</v>
      </c>
      <c r="G24" s="67" t="s">
        <v>80</v>
      </c>
      <c r="H24" s="68" t="s">
        <v>62</v>
      </c>
      <c r="I24" s="68" t="s">
        <v>81</v>
      </c>
      <c r="J24" s="22" t="s">
        <v>82</v>
      </c>
      <c r="K24" s="22" t="s">
        <v>48</v>
      </c>
      <c r="L24" s="69"/>
      <c r="M24" s="70" t="e">
        <f>+I15+J27</f>
        <v>#REF!</v>
      </c>
      <c r="O24" s="44"/>
      <c r="P24" s="44"/>
      <c r="Q24" s="44"/>
      <c r="R24" s="44"/>
      <c r="S24" s="44"/>
      <c r="T24" s="44"/>
      <c r="U24" s="44"/>
    </row>
    <row r="25" s="37" customFormat="1" ht="20" customHeight="1" spans="1:21 16384:16384">
      <c r="A25" s="61"/>
      <c r="B25" s="71" t="s">
        <v>83</v>
      </c>
      <c r="C25" s="22" t="s">
        <v>49</v>
      </c>
      <c r="D25" s="72" t="e">
        <f>#REF!</f>
        <v>#REF!</v>
      </c>
      <c r="E25" s="72">
        <v>2076.47955437079</v>
      </c>
      <c r="F25" s="73" t="e">
        <f>D25*E25</f>
        <v>#REF!</v>
      </c>
      <c r="G25" s="72" t="e">
        <f>F25*0.7</f>
        <v>#REF!</v>
      </c>
      <c r="H25" s="74">
        <v>0.012</v>
      </c>
      <c r="I25" s="72" t="e">
        <f>G25*H25</f>
        <v>#REF!</v>
      </c>
      <c r="J25" s="75" t="e">
        <f>ROUND(I25/2,2)</f>
        <v>#REF!</v>
      </c>
      <c r="K25" s="22" t="s">
        <v>84</v>
      </c>
      <c r="L25" s="69"/>
      <c r="O25" s="44"/>
      <c r="P25" s="44"/>
      <c r="Q25" s="44"/>
      <c r="R25" s="44"/>
      <c r="S25" s="44"/>
      <c r="T25" s="44"/>
      <c r="U25" s="44"/>
    </row>
    <row r="26" s="37" customFormat="1" ht="20" customHeight="1" spans="1:21 16384:16384">
      <c r="A26" s="61"/>
      <c r="B26" s="71" t="s">
        <v>83</v>
      </c>
      <c r="C26" s="22" t="str">
        <f>C19</f>
        <v>康泰公寓</v>
      </c>
      <c r="D26" s="72" t="e">
        <f>#REF!</f>
        <v>#REF!</v>
      </c>
      <c r="E26" s="76">
        <f>(3361993.25-76015.96-505534.97)/1351.05</f>
        <v>2057.98624773324</v>
      </c>
      <c r="F26" s="73" t="e">
        <f>D26*E26</f>
        <v>#REF!</v>
      </c>
      <c r="G26" s="72" t="e">
        <f>F26*0.7</f>
        <v>#REF!</v>
      </c>
      <c r="H26" s="74">
        <v>0.012</v>
      </c>
      <c r="I26" s="72" t="e">
        <f>G26*H26</f>
        <v>#REF!</v>
      </c>
      <c r="J26" s="75" t="e">
        <f>ROUND(I26/2,2)</f>
        <v>#REF!</v>
      </c>
      <c r="K26" s="22" t="s">
        <v>84</v>
      </c>
      <c r="L26" s="69"/>
      <c r="M26" s="37">
        <f>E26*[2]Sheet0!$R$29</f>
        <v>68675.0010868584</v>
      </c>
      <c r="O26" s="44"/>
      <c r="P26" s="44"/>
      <c r="Q26" s="44"/>
      <c r="R26" s="44"/>
      <c r="S26" s="44"/>
      <c r="T26" s="44"/>
      <c r="U26" s="44"/>
    </row>
    <row r="27" s="37" customFormat="1" ht="15.6" spans="1:21 16384:16384">
      <c r="B27" s="77" t="s">
        <v>85</v>
      </c>
      <c r="C27" s="78"/>
      <c r="D27" s="79" t="e">
        <f t="shared" ref="D27:G27" si="6">SUM(D25:D26)</f>
        <v>#REF!</v>
      </c>
      <c r="E27" s="80"/>
      <c r="F27" s="80" t="e">
        <f t="shared" si="6"/>
        <v>#REF!</v>
      </c>
      <c r="G27" s="80" t="e">
        <f t="shared" si="6"/>
        <v>#REF!</v>
      </c>
      <c r="H27" s="80"/>
      <c r="I27" s="80" t="e">
        <f>SUM(I25:I26)</f>
        <v>#REF!</v>
      </c>
      <c r="J27" s="80" t="e">
        <f>SUM(J25:J26)</f>
        <v>#REF!</v>
      </c>
      <c r="K27" s="81"/>
      <c r="O27" s="44"/>
      <c r="P27" s="44"/>
      <c r="Q27" s="44"/>
      <c r="R27" s="44"/>
      <c r="S27" s="44"/>
      <c r="T27" s="44"/>
      <c r="U27" s="44"/>
      <c r="XFD27" s="45"/>
    </row>
    <row r="28" s="38" customFormat="1" ht="15.6" spans="1:21 16384:16384">
      <c r="B28" s="64" t="s">
        <v>86</v>
      </c>
      <c r="C28" s="82" t="s">
        <v>87</v>
      </c>
      <c r="D28" s="83" t="s">
        <v>62</v>
      </c>
      <c r="E28" s="84" t="s">
        <v>88</v>
      </c>
      <c r="O28" s="44"/>
      <c r="P28" s="51"/>
      <c r="Q28" s="51"/>
      <c r="R28" s="51"/>
      <c r="S28" s="51"/>
      <c r="T28" s="51"/>
      <c r="U28" s="51"/>
      <c r="XFD28" s="52"/>
    </row>
    <row r="29" s="37" customFormat="1" ht="15.6" spans="1:21 16384:16384">
      <c r="B29" s="64" t="s">
        <v>17</v>
      </c>
      <c r="C29" s="59">
        <v>138259.89</v>
      </c>
      <c r="D29" s="85">
        <v>0.02</v>
      </c>
      <c r="E29" s="59">
        <f>C29*D29</f>
        <v>2765.1978</v>
      </c>
      <c r="G29" s="70"/>
      <c r="O29" s="44"/>
      <c r="P29" s="44"/>
      <c r="Q29" s="44"/>
      <c r="R29" s="44"/>
      <c r="S29" s="44"/>
      <c r="T29" s="44"/>
      <c r="U29" s="44"/>
      <c r="XFD29" s="45"/>
    </row>
    <row r="30" s="37" customFormat="1" ht="15.6" spans="1:21 16384:16384">
      <c r="B30" s="39"/>
      <c r="C30" s="39"/>
      <c r="D30" s="40"/>
      <c r="E30" s="41"/>
      <c r="F30" s="37" t="s">
        <v>89</v>
      </c>
      <c r="G30" s="41" t="e">
        <f>+#REF!+G15+E29</f>
        <v>#REF!</v>
      </c>
      <c r="H30" s="37" t="s">
        <v>90</v>
      </c>
      <c r="O30" s="44"/>
      <c r="P30" s="44"/>
      <c r="Q30" s="44"/>
      <c r="R30" s="44"/>
      <c r="S30" s="44"/>
      <c r="T30" s="44"/>
      <c r="U30" s="44"/>
      <c r="XFD30" s="45"/>
    </row>
    <row r="31" s="37" customFormat="1" ht="15.6" spans="1:21 16384:16384">
      <c r="B31" s="86" t="s">
        <v>1</v>
      </c>
      <c r="C31" s="86" t="s">
        <v>91</v>
      </c>
      <c r="F31" s="41"/>
      <c r="J31" s="37">
        <v>943.67</v>
      </c>
      <c r="O31" s="44"/>
      <c r="P31" s="44"/>
      <c r="Q31" s="44"/>
      <c r="R31" s="44"/>
      <c r="S31" s="44"/>
      <c r="T31" s="44"/>
      <c r="U31" s="44"/>
      <c r="XFD31"/>
    </row>
    <row r="32" s="37" customFormat="1" ht="15.6" spans="1:21 16384:16384">
      <c r="B32" s="87" t="s">
        <v>92</v>
      </c>
      <c r="C32" s="88">
        <v>3077500</v>
      </c>
      <c r="J32" s="37" t="e">
        <f>J31-J25</f>
        <v>#REF!</v>
      </c>
      <c r="O32" s="44"/>
      <c r="P32" s="44"/>
      <c r="Q32" s="44"/>
      <c r="R32" s="44"/>
      <c r="S32" s="44"/>
      <c r="T32" s="44"/>
      <c r="U32" s="44"/>
      <c r="XFD32"/>
    </row>
    <row r="33" s="37" customFormat="1" ht="16.35" spans="2:21 16384:16384">
      <c r="B33" s="86" t="s">
        <v>93</v>
      </c>
      <c r="C33" s="88">
        <v>580429.44</v>
      </c>
      <c r="G33" s="89"/>
      <c r="H33" s="90"/>
      <c r="I33" s="41"/>
      <c r="K33" s="41"/>
      <c r="L33" s="41"/>
      <c r="O33" s="44"/>
      <c r="P33" s="44"/>
      <c r="Q33" s="44"/>
      <c r="R33" s="44"/>
      <c r="S33" s="44"/>
      <c r="T33" s="44"/>
      <c r="U33" s="44"/>
      <c r="XFD33"/>
    </row>
    <row r="34" s="37" customFormat="1" ht="15.6" spans="2:21 16384:16384">
      <c r="B34" s="86" t="s">
        <v>94</v>
      </c>
      <c r="C34" s="88">
        <v>2534560.32</v>
      </c>
      <c r="G34" s="91"/>
      <c r="H34" s="91"/>
      <c r="I34" s="41"/>
      <c r="K34" s="41"/>
      <c r="L34" s="41"/>
      <c r="O34" s="44"/>
      <c r="P34" s="44"/>
      <c r="Q34" s="44"/>
      <c r="R34" s="44"/>
      <c r="S34" s="44"/>
      <c r="T34" s="44"/>
      <c r="U34" s="44"/>
      <c r="XFD34"/>
    </row>
    <row r="35" s="37" customFormat="1" ht="16.2" spans="2:21 16384:16384">
      <c r="B35" s="86" t="s">
        <v>95</v>
      </c>
      <c r="C35" s="92">
        <v>52254.91</v>
      </c>
      <c r="G35" s="93"/>
      <c r="H35" s="91"/>
      <c r="I35" s="41"/>
      <c r="K35" s="41"/>
      <c r="L35" s="41"/>
      <c r="O35" s="44"/>
      <c r="P35" s="44"/>
      <c r="Q35" s="44"/>
      <c r="R35" s="44"/>
      <c r="S35" s="44"/>
      <c r="T35" s="44"/>
      <c r="U35" s="44"/>
      <c r="XFD35"/>
    </row>
    <row r="36" s="37" customFormat="1" ht="15.6" spans="2:21 16384:16384">
      <c r="B36" s="86" t="s">
        <v>96</v>
      </c>
      <c r="C36" s="94">
        <v>106598.79</v>
      </c>
      <c r="K36" s="41"/>
      <c r="L36" s="41"/>
      <c r="O36" s="44"/>
      <c r="P36" s="44"/>
      <c r="Q36" s="44"/>
      <c r="R36" s="44"/>
      <c r="S36" s="44"/>
      <c r="T36" s="44"/>
      <c r="U36" s="44"/>
      <c r="XFD36"/>
    </row>
    <row r="37" s="37" customFormat="1" ht="15.6" spans="2:21 16384:16384">
      <c r="B37" s="86" t="s">
        <v>97</v>
      </c>
      <c r="C37" s="88">
        <v>103692.44</v>
      </c>
      <c r="I37" s="41"/>
      <c r="O37" s="44"/>
      <c r="P37" s="44"/>
      <c r="Q37" s="44"/>
      <c r="R37" s="44"/>
      <c r="S37" s="44"/>
      <c r="T37" s="44"/>
      <c r="U37" s="44"/>
      <c r="XFD37"/>
    </row>
    <row r="38" s="37" customFormat="1" ht="15.6" spans="2:21 16384:16384">
      <c r="B38" s="86" t="s">
        <v>98</v>
      </c>
      <c r="C38" s="94">
        <v>677394.55</v>
      </c>
      <c r="O38" s="44"/>
      <c r="P38" s="44"/>
      <c r="Q38" s="44"/>
      <c r="R38" s="44"/>
      <c r="S38" s="44"/>
      <c r="T38" s="44"/>
      <c r="U38" s="44"/>
      <c r="XFD38"/>
    </row>
    <row r="39" s="37" customFormat="1" ht="15.6" spans="2:21 16384:16384">
      <c r="B39" s="86" t="s">
        <v>99</v>
      </c>
      <c r="C39" s="88">
        <v>-120.02</v>
      </c>
      <c r="O39" s="44"/>
      <c r="P39" s="44"/>
      <c r="Q39" s="44"/>
      <c r="R39" s="44"/>
      <c r="S39" s="44"/>
      <c r="T39" s="44"/>
      <c r="U39" s="44"/>
      <c r="XFD39"/>
    </row>
    <row r="40" s="37" customFormat="1" ht="15.6" spans="2:21 16384:16384">
      <c r="B40" s="86" t="s">
        <v>100</v>
      </c>
      <c r="C40" s="88">
        <v>45405.29</v>
      </c>
      <c r="O40" s="44"/>
      <c r="P40" s="44"/>
      <c r="Q40" s="44"/>
      <c r="R40" s="44"/>
      <c r="S40" s="44"/>
      <c r="T40" s="44"/>
      <c r="U40" s="44"/>
      <c r="XFD40"/>
    </row>
    <row r="41" s="37" customFormat="1" ht="15.6" spans="2:21 16384:16384">
      <c r="B41" s="86" t="s">
        <v>101</v>
      </c>
      <c r="C41" s="92">
        <f>C32+C33+C35-C34-C36-C38-C39-C37-C40</f>
        <v>242652.98</v>
      </c>
      <c r="O41" s="44"/>
      <c r="P41" s="44"/>
      <c r="Q41" s="44"/>
      <c r="R41" s="44"/>
      <c r="S41" s="44"/>
      <c r="T41" s="44"/>
      <c r="U41" s="44"/>
      <c r="XFD41"/>
    </row>
    <row r="42" s="37" customFormat="1" ht="15.6" spans="2:21 16384:16384">
      <c r="B42" s="95" t="s">
        <v>102</v>
      </c>
      <c r="C42" s="96">
        <v>915671.78</v>
      </c>
      <c r="O42" s="44"/>
      <c r="P42" s="44"/>
      <c r="Q42" s="44"/>
      <c r="R42" s="44"/>
      <c r="S42" s="44"/>
      <c r="T42" s="44"/>
      <c r="U42" s="44"/>
      <c r="XFD42"/>
    </row>
    <row r="43" s="37" customFormat="1" ht="15.6" spans="2:21 16384:16384">
      <c r="B43" s="95" t="s">
        <v>103</v>
      </c>
      <c r="C43" s="96">
        <f>C41-C42</f>
        <v>-673018.8</v>
      </c>
      <c r="O43" s="44"/>
      <c r="P43" s="44"/>
      <c r="Q43" s="44"/>
      <c r="R43" s="44"/>
      <c r="S43" s="44"/>
      <c r="T43" s="44"/>
      <c r="U43" s="44"/>
      <c r="XFD43"/>
    </row>
    <row r="44" s="37" customFormat="1" ht="15.6" spans="2:21 16384:16384">
      <c r="B44" s="81" t="s">
        <v>104</v>
      </c>
      <c r="C44" s="97">
        <v>0.25</v>
      </c>
      <c r="O44" s="44"/>
      <c r="P44" s="44"/>
      <c r="Q44" s="44"/>
      <c r="R44" s="44"/>
      <c r="S44" s="44"/>
      <c r="T44" s="44"/>
      <c r="U44" s="44"/>
      <c r="XFD44"/>
    </row>
    <row r="45" s="37" customFormat="1" ht="15.6" spans="2:21 16384:16384">
      <c r="B45" s="81" t="s">
        <v>105</v>
      </c>
      <c r="C45" s="92">
        <v>0</v>
      </c>
      <c r="O45" s="44"/>
      <c r="P45" s="44"/>
      <c r="Q45" s="44"/>
      <c r="R45" s="44"/>
      <c r="S45" s="44"/>
      <c r="T45" s="44"/>
      <c r="U45" s="44"/>
      <c r="XFD45"/>
    </row>
    <row r="46" s="37" customFormat="1" ht="15.6" spans="2:21 16384:16384">
      <c r="B46" s="81" t="s">
        <v>106</v>
      </c>
      <c r="C46" s="92">
        <f>C43*C44</f>
        <v>-168254.7</v>
      </c>
      <c r="O46" s="44"/>
      <c r="P46" s="44"/>
      <c r="Q46" s="44"/>
      <c r="R46" s="44"/>
      <c r="S46" s="44"/>
      <c r="T46" s="44"/>
      <c r="U46" s="44"/>
      <c r="XFD46"/>
    </row>
  </sheetData>
  <mergeCells count="1">
    <mergeCell ref="B2:N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topLeftCell="D1" workbookViewId="0">
      <selection activeCell="A1" sqref="A1:S16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4.4444444444444" style="1" customWidth="1"/>
    <col min="9" max="10" width="9.62962962962963" style="1" customWidth="1"/>
    <col min="11" max="11" width="13.1111111111111" style="1" customWidth="1"/>
    <col min="12" max="12" width="9.62962962962963" style="1" customWidth="1"/>
    <col min="13" max="13" width="13.3333333333333" style="1" customWidth="1"/>
    <col min="14" max="14" width="13.4444444444444" style="1" customWidth="1"/>
    <col min="15" max="15" width="13.2222222222222" style="1" customWidth="1"/>
    <col min="16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107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/>
      <c r="D3" s="10"/>
      <c r="E3" s="10">
        <f t="shared" ref="E3:E8" si="0">C3+D3</f>
        <v>0</v>
      </c>
      <c r="F3" s="10">
        <f>E3/1.09*9%</f>
        <v>0</v>
      </c>
      <c r="G3" s="10">
        <f t="shared" ref="G3:G8" si="1">F3*0.07</f>
        <v>0</v>
      </c>
      <c r="H3" s="10">
        <f t="shared" ref="H3:H8" si="2">F3*0.03</f>
        <v>0</v>
      </c>
      <c r="I3" s="10">
        <f t="shared" ref="I3:I8" si="3">F3*0.02</f>
        <v>0</v>
      </c>
      <c r="J3" s="10">
        <f t="shared" ref="J3:J8" si="4">E3/1.05*0.0005</f>
        <v>0</v>
      </c>
      <c r="K3" s="10"/>
      <c r="L3" s="10"/>
      <c r="M3" s="10"/>
      <c r="N3" s="10"/>
      <c r="O3" s="10"/>
      <c r="P3" s="10"/>
      <c r="Q3" s="10"/>
      <c r="R3" s="10"/>
      <c r="S3" s="11">
        <f t="shared" ref="S3:S15" si="5">SUM(F3:R3)</f>
        <v>0</v>
      </c>
    </row>
    <row r="4" s="3" customFormat="1" ht="20" customHeight="1" spans="1:20">
      <c r="A4" s="8"/>
      <c r="B4" s="9" t="s">
        <v>22</v>
      </c>
      <c r="C4" s="10">
        <v>362600</v>
      </c>
      <c r="D4" s="10"/>
      <c r="E4" s="10">
        <f t="shared" si="0"/>
        <v>362600</v>
      </c>
      <c r="F4" s="10">
        <f>E4/1.09*9%</f>
        <v>29939.4495412844</v>
      </c>
      <c r="G4" s="10">
        <f t="shared" si="1"/>
        <v>2095.76146788991</v>
      </c>
      <c r="H4" s="10">
        <f t="shared" si="2"/>
        <v>898.183486238532</v>
      </c>
      <c r="I4" s="10">
        <f t="shared" si="3"/>
        <v>598.788990825688</v>
      </c>
      <c r="J4" s="10">
        <f>E4*0.0005</f>
        <v>181.3</v>
      </c>
      <c r="K4" s="10"/>
      <c r="L4" s="10"/>
      <c r="M4" s="10"/>
      <c r="N4" s="10"/>
      <c r="O4" s="10"/>
      <c r="P4" s="10"/>
      <c r="Q4" s="10"/>
      <c r="R4" s="10"/>
      <c r="S4" s="11">
        <f t="shared" si="5"/>
        <v>33713.4834862385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0"/>
        <v>0</v>
      </c>
      <c r="F5" s="10">
        <f>E5/1.09*9%</f>
        <v>0</v>
      </c>
      <c r="G5" s="10">
        <f t="shared" si="1"/>
        <v>0</v>
      </c>
      <c r="H5" s="10">
        <f t="shared" si="2"/>
        <v>0</v>
      </c>
      <c r="I5" s="10">
        <f t="shared" si="3"/>
        <v>0</v>
      </c>
      <c r="J5" s="10">
        <f t="shared" ref="J4:J6" si="6">E5*0.0005</f>
        <v>0</v>
      </c>
      <c r="K5" s="10"/>
      <c r="L5" s="10"/>
      <c r="M5" s="10"/>
      <c r="N5" s="10"/>
      <c r="O5" s="10"/>
      <c r="P5" s="10"/>
      <c r="Q5" s="10"/>
      <c r="R5" s="10"/>
      <c r="S5" s="11">
        <f t="shared" si="5"/>
        <v>0</v>
      </c>
    </row>
    <row r="6" s="3" customFormat="1" ht="20" customHeight="1" spans="1:20">
      <c r="A6" s="8" t="s">
        <v>24</v>
      </c>
      <c r="B6" s="9" t="s">
        <v>21</v>
      </c>
      <c r="C6" s="10"/>
      <c r="D6" s="10"/>
      <c r="E6" s="10">
        <f t="shared" si="0"/>
        <v>0</v>
      </c>
      <c r="F6" s="10">
        <f t="shared" ref="F6:F8" si="7">E6/1.05*0.05</f>
        <v>0</v>
      </c>
      <c r="G6" s="10">
        <f t="shared" si="1"/>
        <v>0</v>
      </c>
      <c r="H6" s="10">
        <f t="shared" si="2"/>
        <v>0</v>
      </c>
      <c r="I6" s="10">
        <f t="shared" si="3"/>
        <v>0</v>
      </c>
      <c r="J6" s="10">
        <f t="shared" si="6"/>
        <v>0</v>
      </c>
      <c r="K6" s="10"/>
      <c r="L6" s="10"/>
      <c r="M6" s="10"/>
      <c r="N6" s="10"/>
      <c r="O6" s="10"/>
      <c r="P6" s="10"/>
      <c r="Q6" s="10"/>
      <c r="R6" s="10"/>
      <c r="S6" s="11">
        <f t="shared" si="5"/>
        <v>0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0"/>
        <v>0</v>
      </c>
      <c r="F7" s="10">
        <f t="shared" si="7"/>
        <v>0</v>
      </c>
      <c r="G7" s="10">
        <f t="shared" si="1"/>
        <v>0</v>
      </c>
      <c r="H7" s="10">
        <f t="shared" si="2"/>
        <v>0</v>
      </c>
      <c r="I7" s="10">
        <f t="shared" si="3"/>
        <v>0</v>
      </c>
      <c r="J7" s="10">
        <f t="shared" si="4"/>
        <v>0</v>
      </c>
      <c r="K7" s="10">
        <f>(E7-F7)*0.03</f>
        <v>0</v>
      </c>
      <c r="L7" s="10"/>
      <c r="M7" s="10"/>
      <c r="N7" s="10"/>
      <c r="O7" s="10"/>
      <c r="P7" s="10"/>
      <c r="Q7" s="10"/>
      <c r="R7" s="10"/>
      <c r="S7" s="11">
        <f t="shared" si="5"/>
        <v>0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0"/>
        <v>0</v>
      </c>
      <c r="F8" s="10">
        <f t="shared" si="7"/>
        <v>0</v>
      </c>
      <c r="G8" s="10">
        <f t="shared" si="1"/>
        <v>0</v>
      </c>
      <c r="H8" s="10">
        <f t="shared" si="2"/>
        <v>0</v>
      </c>
      <c r="I8" s="10">
        <f t="shared" si="3"/>
        <v>0</v>
      </c>
      <c r="J8" s="10">
        <f t="shared" si="4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si="5"/>
        <v>0</v>
      </c>
    </row>
    <row r="9" s="3" customFormat="1" ht="20" customHeight="1" spans="1:20">
      <c r="A9" s="12" t="s">
        <v>33</v>
      </c>
      <c r="B9" s="9" t="s">
        <v>33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1">
        <f t="shared" si="5"/>
        <v>0</v>
      </c>
    </row>
    <row r="10" s="3" customFormat="1" ht="20" customHeight="1" spans="1:20">
      <c r="A10" s="12" t="s">
        <v>25</v>
      </c>
      <c r="B10" s="9" t="s">
        <v>20</v>
      </c>
      <c r="C10" s="10"/>
      <c r="D10" s="10">
        <v>2500</v>
      </c>
      <c r="E10" s="10">
        <f t="shared" ref="E10:E15" si="8">C10+D10</f>
        <v>2500</v>
      </c>
      <c r="F10" s="10">
        <f>E10/1.09*9%</f>
        <v>206.422018348624</v>
      </c>
      <c r="G10" s="10">
        <f t="shared" ref="G10:G14" si="9">F10*0.07</f>
        <v>14.4495412844037</v>
      </c>
      <c r="H10" s="10">
        <f t="shared" ref="H10:H14" si="10">F10*0.03</f>
        <v>6.19266055045871</v>
      </c>
      <c r="I10" s="10">
        <f t="shared" ref="I10:I14" si="11">F10*0.02</f>
        <v>4.12844036697248</v>
      </c>
      <c r="J10" s="10">
        <f>E10*0.1%</f>
        <v>2.5</v>
      </c>
      <c r="K10" s="10"/>
      <c r="L10" s="10"/>
      <c r="M10" s="10"/>
      <c r="N10" s="10"/>
      <c r="O10" s="10"/>
      <c r="P10" s="10"/>
      <c r="Q10" s="10"/>
      <c r="R10" s="10"/>
      <c r="S10" s="11">
        <f t="shared" si="5"/>
        <v>233.692660550459</v>
      </c>
    </row>
    <row r="11" s="3" customFormat="1" ht="20" customHeight="1" spans="1:20">
      <c r="A11" s="13"/>
      <c r="B11" s="9" t="s">
        <v>24</v>
      </c>
      <c r="C11" s="10"/>
      <c r="D11" s="10"/>
      <c r="E11" s="10">
        <f t="shared" si="8"/>
        <v>0</v>
      </c>
      <c r="F11" s="10">
        <f>E11/1.05*0.05</f>
        <v>0</v>
      </c>
      <c r="G11" s="10">
        <f t="shared" si="9"/>
        <v>0</v>
      </c>
      <c r="H11" s="10">
        <f>F11*3%</f>
        <v>0</v>
      </c>
      <c r="I11" s="10">
        <f>F11*2%</f>
        <v>0</v>
      </c>
      <c r="J11" s="10"/>
      <c r="K11" s="10"/>
      <c r="L11" s="10"/>
      <c r="M11" s="10"/>
      <c r="N11" s="10"/>
      <c r="O11" s="10"/>
      <c r="P11" s="10"/>
      <c r="Q11" s="10"/>
      <c r="R11" s="10"/>
      <c r="S11" s="11">
        <f t="shared" si="5"/>
        <v>0</v>
      </c>
    </row>
    <row r="12" s="3" customFormat="1" ht="20" customHeight="1" spans="1:20">
      <c r="A12" s="14"/>
      <c r="B12" s="9" t="s">
        <v>33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1">
        <f t="shared" si="5"/>
        <v>0</v>
      </c>
    </row>
    <row r="13" s="3" customFormat="1" ht="20" customHeight="1" spans="1:20">
      <c r="A13" s="8" t="s">
        <v>26</v>
      </c>
      <c r="B13" s="9" t="s">
        <v>27</v>
      </c>
      <c r="C13" s="10"/>
      <c r="D13" s="10"/>
      <c r="E13" s="10">
        <f t="shared" si="8"/>
        <v>0</v>
      </c>
      <c r="F13" s="10">
        <f>E13/1.05*0.05</f>
        <v>0</v>
      </c>
      <c r="G13" s="10">
        <f t="shared" si="9"/>
        <v>0</v>
      </c>
      <c r="H13" s="10">
        <f t="shared" si="10"/>
        <v>0</v>
      </c>
      <c r="I13" s="10">
        <f t="shared" si="11"/>
        <v>0</v>
      </c>
      <c r="J13" s="10"/>
      <c r="K13" s="10"/>
      <c r="L13" s="10"/>
      <c r="M13" s="10"/>
      <c r="N13" s="10"/>
      <c r="O13" s="10"/>
      <c r="P13" s="10"/>
      <c r="Q13" s="10"/>
      <c r="R13" s="10"/>
      <c r="S13" s="11">
        <f t="shared" si="5"/>
        <v>0</v>
      </c>
    </row>
    <row r="14" s="3" customFormat="1" ht="20" customHeight="1" spans="1:20">
      <c r="A14" s="8"/>
      <c r="B14" s="9" t="s">
        <v>28</v>
      </c>
      <c r="C14" s="10"/>
      <c r="D14" s="10"/>
      <c r="E14" s="10">
        <f t="shared" si="8"/>
        <v>0</v>
      </c>
      <c r="F14" s="10">
        <f>E14/1.06*0.06</f>
        <v>0</v>
      </c>
      <c r="G14" s="10">
        <f t="shared" si="9"/>
        <v>0</v>
      </c>
      <c r="H14" s="10">
        <f t="shared" si="10"/>
        <v>0</v>
      </c>
      <c r="I14" s="10">
        <f t="shared" si="11"/>
        <v>0</v>
      </c>
      <c r="J14" s="10"/>
      <c r="K14" s="10"/>
      <c r="L14" s="10"/>
      <c r="M14" s="10"/>
      <c r="N14" s="10"/>
      <c r="O14" s="10"/>
      <c r="P14" s="10"/>
      <c r="Q14" s="10"/>
      <c r="R14" s="10"/>
      <c r="S14" s="11">
        <f t="shared" si="5"/>
        <v>0</v>
      </c>
    </row>
    <row r="15" s="3" customFormat="1" ht="20" customHeight="1" spans="1:20">
      <c r="A15" s="8"/>
      <c r="B15" s="9" t="s">
        <v>29</v>
      </c>
      <c r="C15" s="10"/>
      <c r="D15" s="10"/>
      <c r="E15" s="10">
        <f t="shared" si="8"/>
        <v>0</v>
      </c>
      <c r="F15" s="10"/>
      <c r="G15" s="10">
        <f>G4+G10</f>
        <v>2110.21100917431</v>
      </c>
      <c r="H15" s="10">
        <f>H4+H10</f>
        <v>904.376146788991</v>
      </c>
      <c r="I15" s="10">
        <f>I4+I10</f>
        <v>602.91743119266</v>
      </c>
      <c r="J15" s="10"/>
      <c r="K15" s="10"/>
      <c r="L15" s="10"/>
      <c r="M15" s="10"/>
      <c r="N15" s="10"/>
      <c r="O15" s="10"/>
      <c r="P15" s="10"/>
      <c r="Q15" s="10"/>
      <c r="R15" s="10"/>
      <c r="S15" s="11">
        <f t="shared" si="5"/>
        <v>3617.50458715596</v>
      </c>
    </row>
    <row r="16" s="3" customFormat="1" ht="20" customHeight="1" spans="1:20">
      <c r="A16" s="15" t="s">
        <v>19</v>
      </c>
      <c r="B16" s="15"/>
      <c r="C16" s="16">
        <f t="shared" ref="C16:S16" si="12">SUM(C3:C14)-C15</f>
        <v>362600</v>
      </c>
      <c r="D16" s="16">
        <f t="shared" si="12"/>
        <v>2500</v>
      </c>
      <c r="E16" s="16">
        <f t="shared" si="12"/>
        <v>365100</v>
      </c>
      <c r="F16" s="16">
        <f t="shared" si="12"/>
        <v>30145.871559633</v>
      </c>
      <c r="G16" s="16">
        <f t="shared" si="12"/>
        <v>0</v>
      </c>
      <c r="H16" s="16">
        <f t="shared" si="12"/>
        <v>0</v>
      </c>
      <c r="I16" s="16">
        <f t="shared" si="12"/>
        <v>0</v>
      </c>
      <c r="J16" s="16">
        <f t="shared" si="12"/>
        <v>183.8</v>
      </c>
      <c r="K16" s="16">
        <f t="shared" si="12"/>
        <v>0</v>
      </c>
      <c r="L16" s="16">
        <f t="shared" si="12"/>
        <v>0</v>
      </c>
      <c r="M16" s="16">
        <f t="shared" si="12"/>
        <v>0</v>
      </c>
      <c r="N16" s="16">
        <f t="shared" si="12"/>
        <v>0</v>
      </c>
      <c r="O16" s="16">
        <f t="shared" si="12"/>
        <v>0</v>
      </c>
      <c r="P16" s="16">
        <f t="shared" si="12"/>
        <v>0</v>
      </c>
      <c r="Q16" s="16">
        <f t="shared" si="12"/>
        <v>0</v>
      </c>
      <c r="R16" s="16">
        <f t="shared" si="12"/>
        <v>0</v>
      </c>
      <c r="S16" s="16">
        <f t="shared" si="12"/>
        <v>30329.671559633</v>
      </c>
      <c r="T16" s="17"/>
    </row>
    <row r="17" s="1" customFormat="1" customHeight="1" spans="2:25">
      <c r="B17" s="1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M17" s="18"/>
      <c r="N17" s="18"/>
      <c r="P17" s="18"/>
      <c r="Q17" s="18"/>
      <c r="R17" s="18"/>
      <c r="S17" s="18"/>
      <c r="T17" s="18"/>
    </row>
    <row r="18" s="1" customFormat="1" customHeight="1" spans="2:25">
      <c r="B18" s="1" t="s">
        <v>31</v>
      </c>
      <c r="F18" s="18"/>
      <c r="G18" s="18"/>
      <c r="H18" s="18"/>
      <c r="I18" s="18"/>
    </row>
    <row r="19" s="4" customFormat="1" ht="14.4" spans="2:25">
      <c r="B19" s="19" t="s">
        <v>34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  <c r="P19" s="21"/>
      <c r="Q19" s="21"/>
      <c r="R19" s="21"/>
      <c r="S19" s="21"/>
      <c r="T19" s="21"/>
      <c r="U19" s="21"/>
    </row>
    <row r="20" s="4" customFormat="1" ht="33" customHeight="1" spans="2:25">
      <c r="B20" s="22" t="s">
        <v>35</v>
      </c>
      <c r="C20" s="22" t="s">
        <v>36</v>
      </c>
      <c r="D20" s="23" t="s">
        <v>37</v>
      </c>
      <c r="E20" s="24" t="s">
        <v>38</v>
      </c>
      <c r="F20" s="24" t="s">
        <v>39</v>
      </c>
      <c r="G20" s="22" t="s">
        <v>40</v>
      </c>
      <c r="H20" s="25" t="s">
        <v>41</v>
      </c>
      <c r="I20" s="22" t="s">
        <v>42</v>
      </c>
      <c r="J20" s="22" t="s">
        <v>43</v>
      </c>
      <c r="K20" s="22" t="s">
        <v>44</v>
      </c>
      <c r="L20" s="22"/>
      <c r="M20" s="22" t="s">
        <v>45</v>
      </c>
      <c r="N20" s="22" t="s">
        <v>46</v>
      </c>
      <c r="O20" s="26" t="s">
        <v>47</v>
      </c>
      <c r="P20" s="27" t="s">
        <v>48</v>
      </c>
      <c r="Q20" s="21"/>
      <c r="R20" s="21"/>
      <c r="S20" s="21"/>
      <c r="T20" s="21"/>
      <c r="U20" s="21"/>
    </row>
    <row r="21" s="4" customFormat="1" ht="37" customHeight="1" spans="2:25">
      <c r="B21" s="22">
        <v>1</v>
      </c>
      <c r="C21" s="22" t="s">
        <v>49</v>
      </c>
      <c r="D21" s="28">
        <v>37188.2</v>
      </c>
      <c r="E21" s="28">
        <v>37057</v>
      </c>
      <c r="F21" s="29">
        <f>'[1]2024年9月成本结转'!$B$23</f>
        <v>1398.99</v>
      </c>
      <c r="G21" s="30">
        <v>1.29</v>
      </c>
      <c r="H21" s="30">
        <f>F21/G21</f>
        <v>1084.48837209302</v>
      </c>
      <c r="I21" s="28" t="s">
        <v>50</v>
      </c>
      <c r="J21" s="28">
        <v>6</v>
      </c>
      <c r="K21" s="29">
        <f t="shared" ref="K21:K23" si="13">ROUND(H21*J21,2)</f>
        <v>6506.93</v>
      </c>
      <c r="L21" s="29"/>
      <c r="M21" s="29">
        <f>ROUND(K21/2,2)</f>
        <v>3253.47</v>
      </c>
      <c r="N21" s="22" t="s">
        <v>51</v>
      </c>
      <c r="O21" s="31" t="s">
        <v>52</v>
      </c>
      <c r="P21" s="27" t="s">
        <v>53</v>
      </c>
      <c r="Q21" s="21"/>
      <c r="R21" s="21"/>
      <c r="S21" s="21"/>
      <c r="T21" s="21"/>
      <c r="U21" s="21"/>
    </row>
    <row r="22" s="4" customFormat="1" ht="43" customHeight="1" spans="2:25">
      <c r="B22" s="22">
        <v>2</v>
      </c>
      <c r="C22" s="22" t="s">
        <v>24</v>
      </c>
      <c r="D22" s="28">
        <v>27452.9</v>
      </c>
      <c r="E22" s="28"/>
      <c r="F22" s="29">
        <f>'[1]2024年9月成本结转'!$G$10</f>
        <v>382.02</v>
      </c>
      <c r="G22" s="30">
        <v>1.7</v>
      </c>
      <c r="H22" s="30">
        <f>F22/G22</f>
        <v>224.717647058824</v>
      </c>
      <c r="I22" s="28" t="s">
        <v>50</v>
      </c>
      <c r="J22" s="28">
        <v>6</v>
      </c>
      <c r="K22" s="29">
        <f t="shared" si="13"/>
        <v>1348.31</v>
      </c>
      <c r="L22" s="29"/>
      <c r="M22" s="29">
        <f>ROUND(K22/2,2)</f>
        <v>674.16</v>
      </c>
      <c r="N22" s="22" t="s">
        <v>54</v>
      </c>
      <c r="O22" s="31" t="s">
        <v>55</v>
      </c>
      <c r="P22" s="27" t="s">
        <v>53</v>
      </c>
      <c r="Q22" s="21"/>
      <c r="R22" s="21"/>
      <c r="S22" s="21"/>
      <c r="T22" s="21"/>
      <c r="U22" s="21"/>
    </row>
    <row r="23" s="4" customFormat="1" ht="37" customHeight="1" spans="2:25">
      <c r="B23" s="22">
        <v>3</v>
      </c>
      <c r="C23" s="22" t="s">
        <v>33</v>
      </c>
      <c r="D23" s="29">
        <v>51342.3</v>
      </c>
      <c r="E23" s="29">
        <v>51342.3</v>
      </c>
      <c r="F23" s="29"/>
      <c r="G23" s="30">
        <v>1</v>
      </c>
      <c r="H23" s="30">
        <f>D23/G23</f>
        <v>51342.3</v>
      </c>
      <c r="I23" s="28" t="s">
        <v>50</v>
      </c>
      <c r="J23" s="28">
        <v>3</v>
      </c>
      <c r="K23" s="29">
        <f t="shared" si="13"/>
        <v>154026.9</v>
      </c>
      <c r="L23" s="29"/>
      <c r="M23" s="29">
        <f>K23/2</f>
        <v>77013.45</v>
      </c>
      <c r="N23" s="22"/>
      <c r="O23" s="31" t="s">
        <v>56</v>
      </c>
      <c r="P23" s="27" t="s">
        <v>57</v>
      </c>
      <c r="Q23" s="21"/>
      <c r="R23" s="21"/>
      <c r="S23" s="21"/>
      <c r="T23" s="21"/>
      <c r="U23" s="21"/>
    </row>
    <row r="24" s="4" customFormat="1" ht="19" customHeight="1" spans="2:25">
      <c r="B24" s="22" t="s">
        <v>19</v>
      </c>
      <c r="C24" s="22"/>
      <c r="D24" s="28"/>
      <c r="E24" s="28"/>
      <c r="F24" s="29">
        <f>SUM(F21:F23)</f>
        <v>1781.01</v>
      </c>
      <c r="G24" s="30"/>
      <c r="H24" s="30"/>
      <c r="I24" s="30"/>
      <c r="J24" s="30"/>
      <c r="K24" s="29">
        <f>SUM(K21:K23)</f>
        <v>161882.14</v>
      </c>
      <c r="L24" s="29"/>
      <c r="M24" s="29">
        <f>SUM(M21:M23)</f>
        <v>80941.08</v>
      </c>
      <c r="N24" s="22"/>
      <c r="O24" s="26"/>
      <c r="P24" s="26"/>
      <c r="Q24" s="21"/>
      <c r="R24" s="21"/>
      <c r="S24" s="21"/>
      <c r="T24" s="21"/>
      <c r="U24" s="21"/>
    </row>
    <row r="25" s="5" customFormat="1" ht="22.5" customHeight="1" spans="2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2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2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2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2:25">
      <c r="C29" s="32"/>
      <c r="D29" s="32"/>
      <c r="E29" s="32"/>
      <c r="F29" s="32"/>
      <c r="G29" s="32"/>
      <c r="H29" s="32"/>
      <c r="I29" s="32"/>
      <c r="J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2:25">
      <c r="C30" s="32"/>
      <c r="D30" s="32"/>
      <c r="E30" s="32"/>
      <c r="F30" s="32"/>
      <c r="G30" s="32"/>
      <c r="H30" s="32"/>
      <c r="I30" s="32"/>
      <c r="J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2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  <row r="32" s="5" customFormat="1" ht="22.5" customHeight="1" spans="2:25">
      <c r="C32" s="32"/>
      <c r="D32" s="32"/>
      <c r="E32" s="32"/>
      <c r="F32" s="32"/>
      <c r="G32" s="32"/>
      <c r="O32" s="33"/>
      <c r="P32" s="33"/>
      <c r="Q32" s="33"/>
      <c r="R32" s="33"/>
      <c r="S32" s="33"/>
      <c r="T32" s="34"/>
      <c r="U32" s="35"/>
      <c r="X32" s="36"/>
      <c r="Y32" s="36"/>
    </row>
    <row r="33" s="5" customFormat="1" ht="22.5" customHeight="1" spans="3:25">
      <c r="C33" s="32"/>
      <c r="D33" s="32"/>
      <c r="E33" s="32"/>
      <c r="F33" s="32"/>
      <c r="G33" s="32"/>
      <c r="O33" s="33"/>
      <c r="P33" s="33"/>
      <c r="Q33" s="33"/>
      <c r="R33" s="33"/>
      <c r="S33" s="33"/>
      <c r="T33" s="34"/>
      <c r="U33" s="35"/>
      <c r="X33" s="36"/>
      <c r="Y33" s="36"/>
    </row>
  </sheetData>
  <mergeCells count="5">
    <mergeCell ref="A1:S1"/>
    <mergeCell ref="A16:B16"/>
    <mergeCell ref="A3:A5"/>
    <mergeCell ref="A6:A8"/>
    <mergeCell ref="A10:A12"/>
  </mergeCells>
  <pageMargins left="0.75" right="0.75" top="1" bottom="1" header="0.5" footer="0.5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workbookViewId="0">
      <selection activeCell="E16" sqref="E16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4.4444444444444" style="1" customWidth="1"/>
    <col min="9" max="10" width="9.62962962962963" style="1" customWidth="1"/>
    <col min="11" max="11" width="13.1111111111111" style="1" customWidth="1"/>
    <col min="12" max="12" width="9.62962962962963" style="1" customWidth="1"/>
    <col min="13" max="13" width="13.3333333333333" style="1" customWidth="1"/>
    <col min="14" max="14" width="13.4444444444444" style="1" customWidth="1"/>
    <col min="15" max="15" width="13.2222222222222" style="1" customWidth="1"/>
    <col min="16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108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>
        <v>231744</v>
      </c>
      <c r="D3" s="10"/>
      <c r="E3" s="10">
        <f t="shared" ref="E3:E8" si="0">C3+D3</f>
        <v>231744</v>
      </c>
      <c r="F3" s="10">
        <f>E3/1.09*9%</f>
        <v>19134.8256880734</v>
      </c>
      <c r="G3" s="10">
        <f t="shared" ref="G3:G8" si="1">F3*0.07</f>
        <v>1339.43779816514</v>
      </c>
      <c r="H3" s="10">
        <f t="shared" ref="H3:H8" si="2">F3*0.03</f>
        <v>574.044770642202</v>
      </c>
      <c r="I3" s="10">
        <f t="shared" ref="I3:I8" si="3">F3*0.02</f>
        <v>382.696513761468</v>
      </c>
      <c r="J3" s="10">
        <f>E3*0.0005</f>
        <v>115.872</v>
      </c>
      <c r="K3" s="10"/>
      <c r="L3" s="10"/>
      <c r="M3" s="10"/>
      <c r="N3" s="10"/>
      <c r="O3" s="10"/>
      <c r="P3" s="10"/>
      <c r="Q3" s="10"/>
      <c r="R3" s="10"/>
      <c r="S3" s="11">
        <f t="shared" ref="S3:S15" si="4">SUM(F3:R3)</f>
        <v>21546.8767706422</v>
      </c>
    </row>
    <row r="4" s="3" customFormat="1" ht="20" customHeight="1" spans="1:20">
      <c r="A4" s="8"/>
      <c r="B4" s="9" t="s">
        <v>22</v>
      </c>
      <c r="C4" s="10"/>
      <c r="D4" s="10"/>
      <c r="E4" s="10">
        <f t="shared" si="0"/>
        <v>0</v>
      </c>
      <c r="F4" s="10">
        <f>E4/1.09*9%</f>
        <v>0</v>
      </c>
      <c r="G4" s="10">
        <f t="shared" si="1"/>
        <v>0</v>
      </c>
      <c r="H4" s="10">
        <f t="shared" si="2"/>
        <v>0</v>
      </c>
      <c r="I4" s="10">
        <f t="shared" si="3"/>
        <v>0</v>
      </c>
      <c r="J4" s="10">
        <f t="shared" ref="J4:J15" si="5">E4*0.0005</f>
        <v>0</v>
      </c>
      <c r="K4" s="10"/>
      <c r="L4" s="10"/>
      <c r="M4" s="10"/>
      <c r="N4" s="10"/>
      <c r="O4" s="10"/>
      <c r="P4" s="10"/>
      <c r="Q4" s="10"/>
      <c r="R4" s="10"/>
      <c r="S4" s="11">
        <f t="shared" si="4"/>
        <v>0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0"/>
        <v>0</v>
      </c>
      <c r="F5" s="10">
        <f>E5/1.09*9%</f>
        <v>0</v>
      </c>
      <c r="G5" s="10">
        <f t="shared" si="1"/>
        <v>0</v>
      </c>
      <c r="H5" s="10">
        <f t="shared" si="2"/>
        <v>0</v>
      </c>
      <c r="I5" s="10">
        <f t="shared" si="3"/>
        <v>0</v>
      </c>
      <c r="J5" s="10">
        <f t="shared" si="5"/>
        <v>0</v>
      </c>
      <c r="K5" s="10"/>
      <c r="L5" s="10"/>
      <c r="M5" s="10"/>
      <c r="N5" s="10"/>
      <c r="O5" s="10"/>
      <c r="P5" s="10"/>
      <c r="Q5" s="10"/>
      <c r="R5" s="10"/>
      <c r="S5" s="11">
        <f t="shared" si="4"/>
        <v>0</v>
      </c>
    </row>
    <row r="6" s="3" customFormat="1" ht="20" customHeight="1" spans="1:20">
      <c r="A6" s="8" t="s">
        <v>24</v>
      </c>
      <c r="B6" s="9" t="s">
        <v>21</v>
      </c>
      <c r="C6" s="10"/>
      <c r="D6" s="10"/>
      <c r="E6" s="10">
        <f t="shared" si="0"/>
        <v>0</v>
      </c>
      <c r="F6" s="10">
        <f t="shared" ref="F6:F8" si="6">E6/1.05*0.05</f>
        <v>0</v>
      </c>
      <c r="G6" s="10">
        <f t="shared" si="1"/>
        <v>0</v>
      </c>
      <c r="H6" s="10">
        <f t="shared" si="2"/>
        <v>0</v>
      </c>
      <c r="I6" s="10">
        <f t="shared" si="3"/>
        <v>0</v>
      </c>
      <c r="J6" s="10">
        <f t="shared" si="5"/>
        <v>0</v>
      </c>
      <c r="K6" s="10"/>
      <c r="L6" s="10"/>
      <c r="M6" s="10"/>
      <c r="N6" s="10"/>
      <c r="O6" s="10"/>
      <c r="P6" s="10"/>
      <c r="Q6" s="10"/>
      <c r="R6" s="10"/>
      <c r="S6" s="11">
        <f t="shared" si="4"/>
        <v>0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0"/>
        <v>0</v>
      </c>
      <c r="F7" s="10">
        <f t="shared" si="6"/>
        <v>0</v>
      </c>
      <c r="G7" s="10">
        <f t="shared" si="1"/>
        <v>0</v>
      </c>
      <c r="H7" s="10">
        <f t="shared" si="2"/>
        <v>0</v>
      </c>
      <c r="I7" s="10">
        <f t="shared" si="3"/>
        <v>0</v>
      </c>
      <c r="J7" s="10">
        <f t="shared" si="5"/>
        <v>0</v>
      </c>
      <c r="K7" s="10">
        <f>(E7-F7)*0.03</f>
        <v>0</v>
      </c>
      <c r="L7" s="10"/>
      <c r="M7" s="10"/>
      <c r="N7" s="10"/>
      <c r="O7" s="10"/>
      <c r="P7" s="10"/>
      <c r="Q7" s="10"/>
      <c r="R7" s="10"/>
      <c r="S7" s="11">
        <f t="shared" si="4"/>
        <v>0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0"/>
        <v>0</v>
      </c>
      <c r="F8" s="10">
        <f t="shared" si="6"/>
        <v>0</v>
      </c>
      <c r="G8" s="10">
        <f t="shared" si="1"/>
        <v>0</v>
      </c>
      <c r="H8" s="10">
        <f t="shared" si="2"/>
        <v>0</v>
      </c>
      <c r="I8" s="10">
        <f t="shared" si="3"/>
        <v>0</v>
      </c>
      <c r="J8" s="10">
        <f t="shared" si="5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si="4"/>
        <v>0</v>
      </c>
    </row>
    <row r="9" s="3" customFormat="1" ht="20" customHeight="1" spans="1:20">
      <c r="A9" s="12" t="s">
        <v>33</v>
      </c>
      <c r="B9" s="9" t="s">
        <v>33</v>
      </c>
      <c r="C9" s="10"/>
      <c r="D9" s="10"/>
      <c r="E9" s="10"/>
      <c r="F9" s="10"/>
      <c r="G9" s="10"/>
      <c r="H9" s="10"/>
      <c r="I9" s="10"/>
      <c r="J9" s="10">
        <f t="shared" si="5"/>
        <v>0</v>
      </c>
      <c r="K9" s="10"/>
      <c r="L9" s="10"/>
      <c r="M9" s="10"/>
      <c r="N9" s="10"/>
      <c r="O9" s="10"/>
      <c r="P9" s="10"/>
      <c r="Q9" s="10"/>
      <c r="R9" s="10"/>
      <c r="S9" s="11">
        <f t="shared" si="4"/>
        <v>0</v>
      </c>
    </row>
    <row r="10" s="3" customFormat="1" ht="20" customHeight="1" spans="1:20">
      <c r="A10" s="12" t="s">
        <v>25</v>
      </c>
      <c r="B10" s="9" t="s">
        <v>20</v>
      </c>
      <c r="C10" s="10"/>
      <c r="D10" s="10">
        <f>1000+2719+2391</f>
        <v>6110</v>
      </c>
      <c r="E10" s="10">
        <f t="shared" ref="E10:E15" si="7">C10+D10</f>
        <v>6110</v>
      </c>
      <c r="F10" s="10">
        <f>E10/1.09*9%</f>
        <v>504.495412844037</v>
      </c>
      <c r="G10" s="10">
        <f t="shared" ref="G10:G14" si="8">F10*0.07</f>
        <v>35.3146788990826</v>
      </c>
      <c r="H10" s="10">
        <f t="shared" ref="H10:H14" si="9">F10*0.03</f>
        <v>15.1348623853211</v>
      </c>
      <c r="I10" s="10">
        <f t="shared" ref="I10:I14" si="10">F10*0.02</f>
        <v>10.0899082568807</v>
      </c>
      <c r="J10" s="10">
        <f>E10*0.001</f>
        <v>6.11</v>
      </c>
      <c r="K10" s="10"/>
      <c r="L10" s="10"/>
      <c r="M10" s="10"/>
      <c r="N10" s="10"/>
      <c r="O10" s="10"/>
      <c r="P10" s="10"/>
      <c r="Q10" s="10">
        <f>74178.1*2%</f>
        <v>1483.562</v>
      </c>
      <c r="R10" s="10"/>
      <c r="S10" s="11">
        <f t="shared" si="4"/>
        <v>2054.70686238532</v>
      </c>
    </row>
    <row r="11" s="3" customFormat="1" ht="20" customHeight="1" spans="1:20">
      <c r="A11" s="13"/>
      <c r="B11" s="9" t="s">
        <v>24</v>
      </c>
      <c r="C11" s="10"/>
      <c r="D11" s="10"/>
      <c r="E11" s="10">
        <f t="shared" si="7"/>
        <v>0</v>
      </c>
      <c r="F11" s="10">
        <f>E11/1.05*0.05</f>
        <v>0</v>
      </c>
      <c r="G11" s="10">
        <f t="shared" si="8"/>
        <v>0</v>
      </c>
      <c r="H11" s="10">
        <f>F11*3%</f>
        <v>0</v>
      </c>
      <c r="I11" s="10">
        <f>F11*2%</f>
        <v>0</v>
      </c>
      <c r="J11" s="10">
        <f t="shared" si="5"/>
        <v>0</v>
      </c>
      <c r="K11" s="10"/>
      <c r="L11" s="10"/>
      <c r="M11" s="10"/>
      <c r="N11" s="10"/>
      <c r="O11" s="10"/>
      <c r="P11" s="10"/>
      <c r="Q11" s="10"/>
      <c r="R11" s="10"/>
      <c r="S11" s="11">
        <f t="shared" si="4"/>
        <v>0</v>
      </c>
    </row>
    <row r="12" s="3" customFormat="1" ht="20" customHeight="1" spans="1:20">
      <c r="A12" s="14"/>
      <c r="B12" s="9" t="s">
        <v>33</v>
      </c>
      <c r="C12" s="10"/>
      <c r="D12" s="10"/>
      <c r="E12" s="10"/>
      <c r="F12" s="10"/>
      <c r="G12" s="10"/>
      <c r="H12" s="10"/>
      <c r="I12" s="10"/>
      <c r="J12" s="10">
        <f t="shared" si="5"/>
        <v>0</v>
      </c>
      <c r="K12" s="10"/>
      <c r="L12" s="10"/>
      <c r="M12" s="10"/>
      <c r="N12" s="10"/>
      <c r="O12" s="10"/>
      <c r="P12" s="10"/>
      <c r="Q12" s="10"/>
      <c r="R12" s="10"/>
      <c r="S12" s="11">
        <f t="shared" si="4"/>
        <v>0</v>
      </c>
    </row>
    <row r="13" s="3" customFormat="1" ht="20" customHeight="1" spans="1:20">
      <c r="A13" s="8" t="s">
        <v>26</v>
      </c>
      <c r="B13" s="9" t="s">
        <v>27</v>
      </c>
      <c r="C13" s="10"/>
      <c r="D13" s="10"/>
      <c r="E13" s="10">
        <f t="shared" si="7"/>
        <v>0</v>
      </c>
      <c r="F13" s="10">
        <f>E13/1.05*0.05</f>
        <v>0</v>
      </c>
      <c r="G13" s="10">
        <f t="shared" si="8"/>
        <v>0</v>
      </c>
      <c r="H13" s="10">
        <f t="shared" si="9"/>
        <v>0</v>
      </c>
      <c r="I13" s="10">
        <f t="shared" si="10"/>
        <v>0</v>
      </c>
      <c r="J13" s="10">
        <f t="shared" si="5"/>
        <v>0</v>
      </c>
      <c r="K13" s="10"/>
      <c r="L13" s="10"/>
      <c r="M13" s="10"/>
      <c r="N13" s="10"/>
      <c r="O13" s="10"/>
      <c r="P13" s="10"/>
      <c r="Q13" s="10"/>
      <c r="R13" s="10"/>
      <c r="S13" s="11">
        <f t="shared" si="4"/>
        <v>0</v>
      </c>
    </row>
    <row r="14" s="3" customFormat="1" ht="20" customHeight="1" spans="1:20">
      <c r="A14" s="8"/>
      <c r="B14" s="9" t="s">
        <v>28</v>
      </c>
      <c r="C14" s="10"/>
      <c r="D14" s="10"/>
      <c r="E14" s="10">
        <f t="shared" si="7"/>
        <v>0</v>
      </c>
      <c r="F14" s="10">
        <f>E14/1.06*0.06</f>
        <v>0</v>
      </c>
      <c r="G14" s="10">
        <f t="shared" si="8"/>
        <v>0</v>
      </c>
      <c r="H14" s="10">
        <f t="shared" si="9"/>
        <v>0</v>
      </c>
      <c r="I14" s="10">
        <f t="shared" si="10"/>
        <v>0</v>
      </c>
      <c r="J14" s="10">
        <f t="shared" si="5"/>
        <v>0</v>
      </c>
      <c r="K14" s="10"/>
      <c r="L14" s="10"/>
      <c r="M14" s="10"/>
      <c r="N14" s="10"/>
      <c r="O14" s="10"/>
      <c r="P14" s="10"/>
      <c r="Q14" s="10"/>
      <c r="R14" s="10"/>
      <c r="S14" s="11">
        <f t="shared" si="4"/>
        <v>0</v>
      </c>
    </row>
    <row r="15" s="3" customFormat="1" ht="20" customHeight="1" spans="1:20">
      <c r="A15" s="8"/>
      <c r="B15" s="9" t="s">
        <v>29</v>
      </c>
      <c r="C15" s="10"/>
      <c r="D15" s="10"/>
      <c r="E15" s="10">
        <f t="shared" si="7"/>
        <v>0</v>
      </c>
      <c r="F15" s="10"/>
      <c r="G15" s="10">
        <f>G4+G10+G3</f>
        <v>1374.75247706422</v>
      </c>
      <c r="H15" s="10">
        <f>H4+H10+H3</f>
        <v>589.179633027523</v>
      </c>
      <c r="I15" s="10">
        <f>I4+I10+I3</f>
        <v>392.786422018349</v>
      </c>
      <c r="J15" s="10">
        <f t="shared" si="5"/>
        <v>0</v>
      </c>
      <c r="K15" s="10"/>
      <c r="L15" s="10"/>
      <c r="M15" s="10"/>
      <c r="N15" s="10"/>
      <c r="O15" s="10"/>
      <c r="P15" s="10"/>
      <c r="Q15" s="10"/>
      <c r="R15" s="10"/>
      <c r="S15" s="11">
        <f t="shared" si="4"/>
        <v>2356.71853211009</v>
      </c>
    </row>
    <row r="16" s="3" customFormat="1" ht="20" customHeight="1" spans="1:20">
      <c r="A16" s="15" t="s">
        <v>19</v>
      </c>
      <c r="B16" s="15"/>
      <c r="C16" s="16">
        <f t="shared" ref="C16:S16" si="11">SUM(C3:C14)-C15</f>
        <v>231744</v>
      </c>
      <c r="D16" s="16">
        <f t="shared" si="11"/>
        <v>6110</v>
      </c>
      <c r="E16" s="16">
        <f t="shared" si="11"/>
        <v>237854</v>
      </c>
      <c r="F16" s="16">
        <f t="shared" si="11"/>
        <v>19639.3211009174</v>
      </c>
      <c r="G16" s="16">
        <f t="shared" si="11"/>
        <v>0</v>
      </c>
      <c r="H16" s="16">
        <f t="shared" si="11"/>
        <v>0</v>
      </c>
      <c r="I16" s="16">
        <f t="shared" si="11"/>
        <v>0</v>
      </c>
      <c r="J16" s="16">
        <f t="shared" si="11"/>
        <v>121.982</v>
      </c>
      <c r="K16" s="16">
        <f t="shared" si="11"/>
        <v>0</v>
      </c>
      <c r="L16" s="16">
        <f t="shared" si="11"/>
        <v>0</v>
      </c>
      <c r="M16" s="16">
        <f t="shared" si="11"/>
        <v>0</v>
      </c>
      <c r="N16" s="16">
        <f t="shared" si="11"/>
        <v>0</v>
      </c>
      <c r="O16" s="16">
        <f t="shared" si="11"/>
        <v>0</v>
      </c>
      <c r="P16" s="16">
        <f t="shared" si="11"/>
        <v>0</v>
      </c>
      <c r="Q16" s="16">
        <f t="shared" si="11"/>
        <v>1483.562</v>
      </c>
      <c r="R16" s="16">
        <f t="shared" si="11"/>
        <v>0</v>
      </c>
      <c r="S16" s="16">
        <f t="shared" si="11"/>
        <v>21244.8651009174</v>
      </c>
      <c r="T16" s="17"/>
    </row>
    <row r="17" s="1" customFormat="1" customHeight="1" spans="2:25">
      <c r="B17" s="1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M17" s="18"/>
      <c r="N17" s="18"/>
      <c r="P17" s="18"/>
      <c r="Q17" s="18"/>
      <c r="R17" s="18"/>
      <c r="S17" s="18"/>
      <c r="T17" s="18"/>
    </row>
    <row r="18" s="1" customFormat="1" customHeight="1" spans="2:25">
      <c r="B18" s="1" t="s">
        <v>31</v>
      </c>
      <c r="F18" s="18"/>
      <c r="G18" s="18"/>
      <c r="H18" s="18">
        <v>231744</v>
      </c>
      <c r="I18" s="18"/>
      <c r="J18" s="1">
        <f>H18*0.05%</f>
        <v>115.872</v>
      </c>
    </row>
    <row r="19" s="4" customFormat="1" ht="14.4" spans="2:25">
      <c r="B19" s="19" t="s">
        <v>34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  <c r="P19" s="21"/>
      <c r="Q19" s="21"/>
      <c r="R19" s="21"/>
      <c r="S19" s="21"/>
      <c r="T19" s="21"/>
      <c r="U19" s="21"/>
    </row>
    <row r="20" s="4" customFormat="1" ht="33" customHeight="1" spans="2:25">
      <c r="B20" s="22" t="s">
        <v>35</v>
      </c>
      <c r="C20" s="22" t="s">
        <v>36</v>
      </c>
      <c r="D20" s="23" t="s">
        <v>37</v>
      </c>
      <c r="E20" s="24" t="s">
        <v>38</v>
      </c>
      <c r="F20" s="24" t="s">
        <v>39</v>
      </c>
      <c r="G20" s="22" t="s">
        <v>40</v>
      </c>
      <c r="H20" s="25" t="s">
        <v>41</v>
      </c>
      <c r="I20" s="22" t="s">
        <v>42</v>
      </c>
      <c r="J20" s="22" t="s">
        <v>43</v>
      </c>
      <c r="K20" s="22" t="s">
        <v>44</v>
      </c>
      <c r="L20" s="22"/>
      <c r="M20" s="22" t="s">
        <v>45</v>
      </c>
      <c r="N20" s="22" t="s">
        <v>46</v>
      </c>
      <c r="O20" s="26" t="s">
        <v>47</v>
      </c>
      <c r="P20" s="27" t="s">
        <v>48</v>
      </c>
      <c r="Q20" s="21"/>
      <c r="R20" s="21"/>
      <c r="S20" s="21"/>
      <c r="T20" s="21"/>
      <c r="U20" s="21"/>
    </row>
    <row r="21" s="4" customFormat="1" ht="37" customHeight="1" spans="2:25">
      <c r="B21" s="22">
        <v>1</v>
      </c>
      <c r="C21" s="22" t="s">
        <v>49</v>
      </c>
      <c r="D21" s="28">
        <v>37188.2</v>
      </c>
      <c r="E21" s="28">
        <v>37057</v>
      </c>
      <c r="F21" s="29">
        <f>'[1]2024年9月成本结转'!$B$23</f>
        <v>1398.99</v>
      </c>
      <c r="G21" s="30">
        <v>1.29</v>
      </c>
      <c r="H21" s="30">
        <f>F21/G21</f>
        <v>1084.48837209302</v>
      </c>
      <c r="I21" s="28" t="s">
        <v>50</v>
      </c>
      <c r="J21" s="28">
        <v>6</v>
      </c>
      <c r="K21" s="29">
        <f t="shared" ref="K21:K23" si="12">ROUND(H21*J21,2)</f>
        <v>6506.93</v>
      </c>
      <c r="L21" s="29"/>
      <c r="M21" s="29">
        <f>ROUND(K21/2,2)</f>
        <v>3253.47</v>
      </c>
      <c r="N21" s="22" t="s">
        <v>51</v>
      </c>
      <c r="O21" s="31" t="s">
        <v>52</v>
      </c>
      <c r="P21" s="27" t="s">
        <v>53</v>
      </c>
      <c r="Q21" s="21"/>
      <c r="R21" s="21"/>
      <c r="S21" s="21"/>
      <c r="T21" s="21"/>
      <c r="U21" s="21"/>
    </row>
    <row r="22" s="4" customFormat="1" ht="43" customHeight="1" spans="2:25">
      <c r="B22" s="22">
        <v>2</v>
      </c>
      <c r="C22" s="22" t="s">
        <v>24</v>
      </c>
      <c r="D22" s="28">
        <v>27452.9</v>
      </c>
      <c r="E22" s="28"/>
      <c r="F22" s="29">
        <f>'[1]2024年9月成本结转'!$G$10</f>
        <v>382.02</v>
      </c>
      <c r="G22" s="30">
        <v>1.7</v>
      </c>
      <c r="H22" s="30">
        <f>F22/G22</f>
        <v>224.717647058824</v>
      </c>
      <c r="I22" s="28" t="s">
        <v>50</v>
      </c>
      <c r="J22" s="28">
        <v>6</v>
      </c>
      <c r="K22" s="29">
        <f t="shared" si="12"/>
        <v>1348.31</v>
      </c>
      <c r="L22" s="29"/>
      <c r="M22" s="29">
        <f>ROUND(K22/2,2)</f>
        <v>674.16</v>
      </c>
      <c r="N22" s="22" t="s">
        <v>54</v>
      </c>
      <c r="O22" s="31" t="s">
        <v>55</v>
      </c>
      <c r="P22" s="27" t="s">
        <v>53</v>
      </c>
      <c r="Q22" s="21"/>
      <c r="R22" s="21"/>
      <c r="S22" s="21"/>
      <c r="T22" s="21"/>
      <c r="U22" s="21"/>
    </row>
    <row r="23" s="4" customFormat="1" ht="37" customHeight="1" spans="2:25">
      <c r="B23" s="22">
        <v>3</v>
      </c>
      <c r="C23" s="22" t="s">
        <v>33</v>
      </c>
      <c r="D23" s="29">
        <v>51342.3</v>
      </c>
      <c r="E23" s="29">
        <v>51342.3</v>
      </c>
      <c r="F23" s="29"/>
      <c r="G23" s="30">
        <v>1</v>
      </c>
      <c r="H23" s="30">
        <f>D23/G23</f>
        <v>51342.3</v>
      </c>
      <c r="I23" s="28" t="s">
        <v>50</v>
      </c>
      <c r="J23" s="28">
        <v>3</v>
      </c>
      <c r="K23" s="29">
        <f t="shared" si="12"/>
        <v>154026.9</v>
      </c>
      <c r="L23" s="29"/>
      <c r="M23" s="29">
        <f>K23/2</f>
        <v>77013.45</v>
      </c>
      <c r="N23" s="22"/>
      <c r="O23" s="31" t="s">
        <v>56</v>
      </c>
      <c r="P23" s="27" t="s">
        <v>57</v>
      </c>
      <c r="Q23" s="21"/>
      <c r="R23" s="21"/>
      <c r="S23" s="21"/>
      <c r="T23" s="21"/>
      <c r="U23" s="21"/>
    </row>
    <row r="24" s="4" customFormat="1" ht="19" customHeight="1" spans="2:25">
      <c r="B24" s="22" t="s">
        <v>19</v>
      </c>
      <c r="C24" s="22"/>
      <c r="D24" s="28"/>
      <c r="E24" s="28"/>
      <c r="F24" s="29">
        <f>SUM(F21:F23)</f>
        <v>1781.01</v>
      </c>
      <c r="G24" s="30"/>
      <c r="H24" s="30"/>
      <c r="I24" s="30"/>
      <c r="J24" s="30"/>
      <c r="K24" s="29">
        <f>SUM(K21:K23)</f>
        <v>161882.14</v>
      </c>
      <c r="L24" s="29"/>
      <c r="M24" s="29">
        <f>SUM(M21:M23)</f>
        <v>80941.08</v>
      </c>
      <c r="N24" s="22"/>
      <c r="O24" s="26"/>
      <c r="P24" s="26"/>
      <c r="Q24" s="21"/>
      <c r="R24" s="21"/>
      <c r="S24" s="21"/>
      <c r="T24" s="21"/>
      <c r="U24" s="21"/>
    </row>
    <row r="25" s="5" customFormat="1" ht="22.5" customHeight="1" spans="2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2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2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2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2:25">
      <c r="C29" s="32"/>
      <c r="D29" s="32"/>
      <c r="E29" s="32"/>
      <c r="F29" s="32"/>
      <c r="G29" s="32"/>
      <c r="H29" s="32"/>
      <c r="I29" s="32"/>
      <c r="J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2:25">
      <c r="C30" s="32"/>
      <c r="D30" s="32"/>
      <c r="E30" s="32"/>
      <c r="F30" s="32"/>
      <c r="G30" s="32"/>
      <c r="H30" s="32"/>
      <c r="I30" s="32"/>
      <c r="J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2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  <row r="32" s="5" customFormat="1" ht="22.5" customHeight="1" spans="2:25">
      <c r="C32" s="32"/>
      <c r="D32" s="32"/>
      <c r="E32" s="32"/>
      <c r="F32" s="32"/>
      <c r="G32" s="32"/>
      <c r="O32" s="33"/>
      <c r="P32" s="33"/>
      <c r="Q32" s="33"/>
      <c r="R32" s="33"/>
      <c r="S32" s="33"/>
      <c r="T32" s="34"/>
      <c r="U32" s="35"/>
      <c r="X32" s="36"/>
      <c r="Y32" s="36"/>
    </row>
    <row r="33" s="5" customFormat="1" ht="22.5" customHeight="1" spans="3:25">
      <c r="C33" s="32"/>
      <c r="D33" s="32"/>
      <c r="E33" s="32"/>
      <c r="F33" s="32"/>
      <c r="G33" s="32"/>
      <c r="O33" s="33"/>
      <c r="P33" s="33"/>
      <c r="Q33" s="33"/>
      <c r="R33" s="33"/>
      <c r="S33" s="33"/>
      <c r="T33" s="34"/>
      <c r="U33" s="35"/>
      <c r="X33" s="36"/>
      <c r="Y33" s="36"/>
    </row>
  </sheetData>
  <mergeCells count="5">
    <mergeCell ref="A1:S1"/>
    <mergeCell ref="A16:B16"/>
    <mergeCell ref="A3:A5"/>
    <mergeCell ref="A6:A8"/>
    <mergeCell ref="A10:A12"/>
  </mergeCells>
  <pageMargins left="0.75" right="0.75" top="1" bottom="1" header="0.5" footer="0.5"/>
  <headerFooter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workbookViewId="0">
      <selection activeCell="L10" sqref="L10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4.4444444444444" style="1" customWidth="1"/>
    <col min="9" max="10" width="9.62962962962963" style="1" customWidth="1"/>
    <col min="11" max="11" width="13.1111111111111" style="1" customWidth="1"/>
    <col min="12" max="12" width="9.62962962962963" style="1" customWidth="1"/>
    <col min="13" max="13" width="13.3333333333333" style="1" customWidth="1"/>
    <col min="14" max="14" width="13.4444444444444" style="1" customWidth="1"/>
    <col min="15" max="15" width="13.2222222222222" style="1" customWidth="1"/>
    <col min="16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109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/>
      <c r="D3" s="10"/>
      <c r="E3" s="10">
        <f t="shared" ref="E3:E8" si="0">C3+D3</f>
        <v>0</v>
      </c>
      <c r="F3" s="10">
        <f>E3/1.09*9%</f>
        <v>0</v>
      </c>
      <c r="G3" s="10">
        <f t="shared" ref="G3:G8" si="1">F3*0.07</f>
        <v>0</v>
      </c>
      <c r="H3" s="10">
        <f t="shared" ref="H3:H8" si="2">F3*0.03</f>
        <v>0</v>
      </c>
      <c r="I3" s="10">
        <f t="shared" ref="I3:I8" si="3">F3*0.02</f>
        <v>0</v>
      </c>
      <c r="J3" s="10">
        <f t="shared" ref="J3:J9" si="4">E3*0.0005</f>
        <v>0</v>
      </c>
      <c r="K3" s="10"/>
      <c r="L3" s="10"/>
      <c r="M3" s="10"/>
      <c r="N3" s="10"/>
      <c r="O3" s="10"/>
      <c r="P3" s="10"/>
      <c r="Q3" s="10"/>
      <c r="R3" s="10"/>
      <c r="S3" s="11">
        <f t="shared" ref="S3:S15" si="5">SUM(F3:R3)</f>
        <v>0</v>
      </c>
    </row>
    <row r="4" s="3" customFormat="1" ht="20" customHeight="1" spans="1:20">
      <c r="A4" s="8"/>
      <c r="B4" s="9" t="s">
        <v>22</v>
      </c>
      <c r="C4" s="10"/>
      <c r="D4" s="10"/>
      <c r="E4" s="10">
        <f t="shared" si="0"/>
        <v>0</v>
      </c>
      <c r="F4" s="10">
        <f>E4/1.09*9%</f>
        <v>0</v>
      </c>
      <c r="G4" s="10">
        <f t="shared" si="1"/>
        <v>0</v>
      </c>
      <c r="H4" s="10">
        <f t="shared" si="2"/>
        <v>0</v>
      </c>
      <c r="I4" s="10">
        <f t="shared" si="3"/>
        <v>0</v>
      </c>
      <c r="J4" s="10">
        <f t="shared" si="4"/>
        <v>0</v>
      </c>
      <c r="K4" s="10"/>
      <c r="L4" s="10"/>
      <c r="M4" s="10"/>
      <c r="N4" s="10"/>
      <c r="O4" s="10"/>
      <c r="P4" s="10"/>
      <c r="Q4" s="10"/>
      <c r="R4" s="10"/>
      <c r="S4" s="11">
        <f t="shared" si="5"/>
        <v>0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0"/>
        <v>0</v>
      </c>
      <c r="F5" s="10">
        <f>E5/1.09*9%</f>
        <v>0</v>
      </c>
      <c r="G5" s="10">
        <f t="shared" si="1"/>
        <v>0</v>
      </c>
      <c r="H5" s="10">
        <f t="shared" si="2"/>
        <v>0</v>
      </c>
      <c r="I5" s="10">
        <f t="shared" si="3"/>
        <v>0</v>
      </c>
      <c r="J5" s="10">
        <f t="shared" si="4"/>
        <v>0</v>
      </c>
      <c r="K5" s="10"/>
      <c r="L5" s="10"/>
      <c r="M5" s="10"/>
      <c r="N5" s="10"/>
      <c r="O5" s="10"/>
      <c r="P5" s="10"/>
      <c r="Q5" s="10"/>
      <c r="R5" s="10"/>
      <c r="S5" s="11">
        <f t="shared" si="5"/>
        <v>0</v>
      </c>
    </row>
    <row r="6" s="3" customFormat="1" ht="20" customHeight="1" spans="1:20">
      <c r="A6" s="8" t="s">
        <v>24</v>
      </c>
      <c r="B6" s="9" t="s">
        <v>21</v>
      </c>
      <c r="C6" s="10"/>
      <c r="D6" s="10"/>
      <c r="E6" s="10">
        <f t="shared" si="0"/>
        <v>0</v>
      </c>
      <c r="F6" s="10">
        <f t="shared" ref="F6:F8" si="6">E6/1.05*0.05</f>
        <v>0</v>
      </c>
      <c r="G6" s="10">
        <f t="shared" si="1"/>
        <v>0</v>
      </c>
      <c r="H6" s="10">
        <f t="shared" si="2"/>
        <v>0</v>
      </c>
      <c r="I6" s="10">
        <f t="shared" si="3"/>
        <v>0</v>
      </c>
      <c r="J6" s="10">
        <f t="shared" si="4"/>
        <v>0</v>
      </c>
      <c r="K6" s="10"/>
      <c r="L6" s="10"/>
      <c r="M6" s="10"/>
      <c r="N6" s="10"/>
      <c r="O6" s="10"/>
      <c r="P6" s="10"/>
      <c r="Q6" s="10"/>
      <c r="R6" s="10"/>
      <c r="S6" s="11">
        <f t="shared" si="5"/>
        <v>0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0"/>
        <v>0</v>
      </c>
      <c r="F7" s="10">
        <f t="shared" si="6"/>
        <v>0</v>
      </c>
      <c r="G7" s="10">
        <f t="shared" si="1"/>
        <v>0</v>
      </c>
      <c r="H7" s="10">
        <f t="shared" si="2"/>
        <v>0</v>
      </c>
      <c r="I7" s="10">
        <f t="shared" si="3"/>
        <v>0</v>
      </c>
      <c r="J7" s="10">
        <f t="shared" si="4"/>
        <v>0</v>
      </c>
      <c r="K7" s="10">
        <f>(E7-F7)*0.03</f>
        <v>0</v>
      </c>
      <c r="L7" s="10"/>
      <c r="M7" s="10"/>
      <c r="N7" s="10"/>
      <c r="O7" s="10"/>
      <c r="P7" s="10"/>
      <c r="Q7" s="10"/>
      <c r="R7" s="10"/>
      <c r="S7" s="11">
        <f t="shared" si="5"/>
        <v>0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0"/>
        <v>0</v>
      </c>
      <c r="F8" s="10">
        <f t="shared" si="6"/>
        <v>0</v>
      </c>
      <c r="G8" s="10">
        <f t="shared" si="1"/>
        <v>0</v>
      </c>
      <c r="H8" s="10">
        <f t="shared" si="2"/>
        <v>0</v>
      </c>
      <c r="I8" s="10">
        <f t="shared" si="3"/>
        <v>0</v>
      </c>
      <c r="J8" s="10">
        <f t="shared" si="4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si="5"/>
        <v>0</v>
      </c>
    </row>
    <row r="9" s="3" customFormat="1" ht="20" customHeight="1" spans="1:20">
      <c r="A9" s="12" t="s">
        <v>33</v>
      </c>
      <c r="B9" s="9" t="s">
        <v>33</v>
      </c>
      <c r="C9" s="10"/>
      <c r="D9" s="10"/>
      <c r="E9" s="10"/>
      <c r="F9" s="10"/>
      <c r="G9" s="10"/>
      <c r="H9" s="10"/>
      <c r="I9" s="10"/>
      <c r="J9" s="10">
        <f t="shared" si="4"/>
        <v>0</v>
      </c>
      <c r="K9" s="10"/>
      <c r="L9" s="10"/>
      <c r="M9" s="10"/>
      <c r="N9" s="10"/>
      <c r="O9" s="10"/>
      <c r="P9" s="10"/>
      <c r="Q9" s="10"/>
      <c r="R9" s="10"/>
      <c r="S9" s="11">
        <f t="shared" si="5"/>
        <v>0</v>
      </c>
    </row>
    <row r="10" s="3" customFormat="1" ht="20" customHeight="1" spans="1:20">
      <c r="A10" s="12" t="s">
        <v>25</v>
      </c>
      <c r="B10" s="9" t="s">
        <v>20</v>
      </c>
      <c r="C10" s="10"/>
      <c r="D10" s="10">
        <f>2100+2500*2+2800+2450+11000</f>
        <v>23350</v>
      </c>
      <c r="E10" s="10">
        <f t="shared" ref="E10:E15" si="7">C10+D10</f>
        <v>23350</v>
      </c>
      <c r="F10" s="10">
        <f>E10/1.09*9%</f>
        <v>1927.98165137615</v>
      </c>
      <c r="G10" s="10">
        <f t="shared" ref="G10:G14" si="8">F10*0.07</f>
        <v>134.95871559633</v>
      </c>
      <c r="H10" s="10">
        <f t="shared" ref="H10:H14" si="9">F10*0.03</f>
        <v>57.8394495412844</v>
      </c>
      <c r="I10" s="10">
        <f t="shared" ref="I10:I14" si="10">F10*0.02</f>
        <v>38.5596330275229</v>
      </c>
      <c r="J10" s="10">
        <f>E10*0.001</f>
        <v>23.35</v>
      </c>
      <c r="K10" s="10"/>
      <c r="L10" s="10">
        <f>'[3]Sheet0 (2)'!$T$24</f>
        <v>1032.00860931498</v>
      </c>
      <c r="M10" s="10"/>
      <c r="N10" s="10"/>
      <c r="O10" s="10"/>
      <c r="P10" s="10"/>
      <c r="Q10" s="10"/>
      <c r="R10" s="10"/>
      <c r="S10" s="11">
        <f t="shared" si="5"/>
        <v>3214.69805885627</v>
      </c>
    </row>
    <row r="11" s="3" customFormat="1" ht="20" customHeight="1" spans="1:20">
      <c r="A11" s="13"/>
      <c r="B11" s="9" t="s">
        <v>24</v>
      </c>
      <c r="C11" s="10"/>
      <c r="D11" s="10"/>
      <c r="E11" s="10">
        <f t="shared" si="7"/>
        <v>0</v>
      </c>
      <c r="F11" s="10">
        <f>E11/1.05*0.05</f>
        <v>0</v>
      </c>
      <c r="G11" s="10">
        <f t="shared" si="8"/>
        <v>0</v>
      </c>
      <c r="H11" s="10">
        <f>F11*3%</f>
        <v>0</v>
      </c>
      <c r="I11" s="10">
        <f>F11*2%</f>
        <v>0</v>
      </c>
      <c r="J11" s="10">
        <f t="shared" ref="J11:J15" si="11">E11*0.0005</f>
        <v>0</v>
      </c>
      <c r="K11" s="10"/>
      <c r="L11" s="10"/>
      <c r="M11" s="10"/>
      <c r="N11" s="10"/>
      <c r="O11" s="10"/>
      <c r="P11" s="10"/>
      <c r="Q11" s="10"/>
      <c r="R11" s="10"/>
      <c r="S11" s="11">
        <f t="shared" si="5"/>
        <v>0</v>
      </c>
    </row>
    <row r="12" s="3" customFormat="1" ht="20" customHeight="1" spans="1:20">
      <c r="A12" s="14"/>
      <c r="B12" s="9" t="s">
        <v>33</v>
      </c>
      <c r="C12" s="10"/>
      <c r="D12" s="10"/>
      <c r="E12" s="10"/>
      <c r="F12" s="10"/>
      <c r="G12" s="10"/>
      <c r="H12" s="10"/>
      <c r="I12" s="10"/>
      <c r="J12" s="10">
        <f t="shared" si="11"/>
        <v>0</v>
      </c>
      <c r="K12" s="10"/>
      <c r="L12" s="10"/>
      <c r="M12" s="10"/>
      <c r="N12" s="10"/>
      <c r="O12" s="10"/>
      <c r="P12" s="10"/>
      <c r="Q12" s="10"/>
      <c r="R12" s="10"/>
      <c r="S12" s="11">
        <f t="shared" si="5"/>
        <v>0</v>
      </c>
    </row>
    <row r="13" s="3" customFormat="1" ht="20" customHeight="1" spans="1:20">
      <c r="A13" s="8" t="s">
        <v>26</v>
      </c>
      <c r="B13" s="9" t="s">
        <v>27</v>
      </c>
      <c r="C13" s="10"/>
      <c r="D13" s="10"/>
      <c r="E13" s="10">
        <f t="shared" si="7"/>
        <v>0</v>
      </c>
      <c r="F13" s="10">
        <f>E13/1.05*0.05</f>
        <v>0</v>
      </c>
      <c r="G13" s="10">
        <f t="shared" si="8"/>
        <v>0</v>
      </c>
      <c r="H13" s="10">
        <f t="shared" si="9"/>
        <v>0</v>
      </c>
      <c r="I13" s="10">
        <f t="shared" si="10"/>
        <v>0</v>
      </c>
      <c r="J13" s="10">
        <f t="shared" si="11"/>
        <v>0</v>
      </c>
      <c r="K13" s="10"/>
      <c r="L13" s="10"/>
      <c r="M13" s="10"/>
      <c r="N13" s="10"/>
      <c r="O13" s="10"/>
      <c r="P13" s="10"/>
      <c r="Q13" s="10"/>
      <c r="R13" s="10"/>
      <c r="S13" s="11">
        <f t="shared" si="5"/>
        <v>0</v>
      </c>
    </row>
    <row r="14" s="3" customFormat="1" ht="20" customHeight="1" spans="1:20">
      <c r="A14" s="8"/>
      <c r="B14" s="9" t="s">
        <v>28</v>
      </c>
      <c r="C14" s="10"/>
      <c r="D14" s="10"/>
      <c r="E14" s="10">
        <f t="shared" si="7"/>
        <v>0</v>
      </c>
      <c r="F14" s="10">
        <f>E14/1.06*0.06</f>
        <v>0</v>
      </c>
      <c r="G14" s="10">
        <f t="shared" si="8"/>
        <v>0</v>
      </c>
      <c r="H14" s="10">
        <f t="shared" si="9"/>
        <v>0</v>
      </c>
      <c r="I14" s="10">
        <f t="shared" si="10"/>
        <v>0</v>
      </c>
      <c r="J14" s="10">
        <f t="shared" si="11"/>
        <v>0</v>
      </c>
      <c r="K14" s="10"/>
      <c r="L14" s="10"/>
      <c r="M14" s="10"/>
      <c r="N14" s="10"/>
      <c r="O14" s="10"/>
      <c r="P14" s="10"/>
      <c r="Q14" s="10"/>
      <c r="R14" s="10"/>
      <c r="S14" s="11">
        <f t="shared" si="5"/>
        <v>0</v>
      </c>
    </row>
    <row r="15" s="3" customFormat="1" ht="20" customHeight="1" spans="1:20">
      <c r="A15" s="8"/>
      <c r="B15" s="9" t="s">
        <v>29</v>
      </c>
      <c r="C15" s="10"/>
      <c r="D15" s="10"/>
      <c r="E15" s="10">
        <f t="shared" si="7"/>
        <v>0</v>
      </c>
      <c r="F15" s="10"/>
      <c r="G15" s="10">
        <f t="shared" ref="G15:I15" si="12">G4+G10+G3</f>
        <v>134.95871559633</v>
      </c>
      <c r="H15" s="10">
        <f t="shared" si="12"/>
        <v>57.8394495412844</v>
      </c>
      <c r="I15" s="10">
        <f t="shared" si="12"/>
        <v>38.5596330275229</v>
      </c>
      <c r="J15" s="10">
        <f t="shared" si="11"/>
        <v>0</v>
      </c>
      <c r="K15" s="10"/>
      <c r="L15" s="10"/>
      <c r="M15" s="10"/>
      <c r="N15" s="10"/>
      <c r="O15" s="10"/>
      <c r="P15" s="10"/>
      <c r="Q15" s="10"/>
      <c r="R15" s="10"/>
      <c r="S15" s="11">
        <f t="shared" si="5"/>
        <v>231.357798165137</v>
      </c>
    </row>
    <row r="16" s="3" customFormat="1" ht="20" customHeight="1" spans="1:20">
      <c r="A16" s="15" t="s">
        <v>19</v>
      </c>
      <c r="B16" s="15"/>
      <c r="C16" s="16">
        <f t="shared" ref="C16:S16" si="13">SUM(C3:C14)-C15</f>
        <v>0</v>
      </c>
      <c r="D16" s="16">
        <f t="shared" si="13"/>
        <v>23350</v>
      </c>
      <c r="E16" s="16">
        <f t="shared" si="13"/>
        <v>23350</v>
      </c>
      <c r="F16" s="16">
        <f t="shared" si="13"/>
        <v>1927.98165137615</v>
      </c>
      <c r="G16" s="16">
        <f t="shared" si="13"/>
        <v>0</v>
      </c>
      <c r="H16" s="16">
        <f t="shared" si="13"/>
        <v>0</v>
      </c>
      <c r="I16" s="16">
        <f t="shared" si="13"/>
        <v>0</v>
      </c>
      <c r="J16" s="16">
        <f t="shared" si="13"/>
        <v>23.35</v>
      </c>
      <c r="K16" s="16">
        <f t="shared" si="13"/>
        <v>0</v>
      </c>
      <c r="L16" s="16">
        <f t="shared" si="13"/>
        <v>1032.00860931498</v>
      </c>
      <c r="M16" s="16">
        <f t="shared" si="13"/>
        <v>0</v>
      </c>
      <c r="N16" s="16">
        <f t="shared" si="13"/>
        <v>0</v>
      </c>
      <c r="O16" s="16">
        <f t="shared" si="13"/>
        <v>0</v>
      </c>
      <c r="P16" s="16">
        <f t="shared" si="13"/>
        <v>0</v>
      </c>
      <c r="Q16" s="16">
        <f t="shared" si="13"/>
        <v>0</v>
      </c>
      <c r="R16" s="16">
        <f t="shared" si="13"/>
        <v>0</v>
      </c>
      <c r="S16" s="16">
        <f t="shared" si="13"/>
        <v>2983.34026069113</v>
      </c>
      <c r="T16" s="17"/>
    </row>
    <row r="17" s="1" customFormat="1" customHeight="1" spans="2:25">
      <c r="B17" s="1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M17" s="18"/>
      <c r="N17" s="18"/>
      <c r="P17" s="18"/>
      <c r="Q17" s="18"/>
      <c r="R17" s="18"/>
      <c r="S17" s="18"/>
      <c r="T17" s="18"/>
    </row>
    <row r="18" s="1" customFormat="1" customHeight="1" spans="2:25">
      <c r="B18" s="1" t="s">
        <v>31</v>
      </c>
      <c r="F18" s="18"/>
      <c r="G18" s="18"/>
      <c r="H18" s="18">
        <v>231744</v>
      </c>
      <c r="I18" s="18"/>
      <c r="J18" s="1">
        <f>H18*0.05%</f>
        <v>115.872</v>
      </c>
    </row>
    <row r="19" s="4" customFormat="1" ht="14.4" spans="2:25">
      <c r="B19" s="19" t="s">
        <v>34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  <c r="P19" s="21"/>
      <c r="Q19" s="21"/>
      <c r="R19" s="21"/>
      <c r="S19" s="21"/>
      <c r="T19" s="21"/>
      <c r="U19" s="21"/>
    </row>
    <row r="20" s="4" customFormat="1" ht="33" customHeight="1" spans="2:25">
      <c r="B20" s="22" t="s">
        <v>35</v>
      </c>
      <c r="C20" s="22" t="s">
        <v>36</v>
      </c>
      <c r="D20" s="23" t="s">
        <v>37</v>
      </c>
      <c r="E20" s="24" t="s">
        <v>38</v>
      </c>
      <c r="F20" s="24" t="s">
        <v>39</v>
      </c>
      <c r="G20" s="22" t="s">
        <v>40</v>
      </c>
      <c r="H20" s="25" t="s">
        <v>41</v>
      </c>
      <c r="I20" s="22" t="s">
        <v>42</v>
      </c>
      <c r="J20" s="22" t="s">
        <v>43</v>
      </c>
      <c r="K20" s="22" t="s">
        <v>44</v>
      </c>
      <c r="L20" s="22"/>
      <c r="M20" s="22" t="s">
        <v>45</v>
      </c>
      <c r="N20" s="22" t="s">
        <v>46</v>
      </c>
      <c r="O20" s="26" t="s">
        <v>47</v>
      </c>
      <c r="P20" s="27" t="s">
        <v>48</v>
      </c>
      <c r="Q20" s="21"/>
      <c r="R20" s="21"/>
      <c r="S20" s="21"/>
      <c r="T20" s="21"/>
      <c r="U20" s="21"/>
    </row>
    <row r="21" s="4" customFormat="1" ht="37" customHeight="1" spans="2:25">
      <c r="B21" s="22">
        <v>1</v>
      </c>
      <c r="C21" s="22" t="s">
        <v>49</v>
      </c>
      <c r="D21" s="28">
        <v>37188.2</v>
      </c>
      <c r="E21" s="28">
        <v>37057</v>
      </c>
      <c r="F21" s="29">
        <f>'[1]2024年9月成本结转'!$B$23</f>
        <v>1398.99</v>
      </c>
      <c r="G21" s="30">
        <v>1.29</v>
      </c>
      <c r="H21" s="30">
        <f>F21/G21</f>
        <v>1084.48837209302</v>
      </c>
      <c r="I21" s="28" t="s">
        <v>50</v>
      </c>
      <c r="J21" s="28">
        <v>6</v>
      </c>
      <c r="K21" s="29">
        <f t="shared" ref="K21:K23" si="14">ROUND(H21*J21,2)</f>
        <v>6506.93</v>
      </c>
      <c r="L21" s="29"/>
      <c r="M21" s="29">
        <f>ROUND(K21/2,2)</f>
        <v>3253.47</v>
      </c>
      <c r="N21" s="22" t="s">
        <v>51</v>
      </c>
      <c r="O21" s="31" t="s">
        <v>52</v>
      </c>
      <c r="P21" s="27" t="s">
        <v>53</v>
      </c>
      <c r="Q21" s="21"/>
      <c r="R21" s="21"/>
      <c r="S21" s="21"/>
      <c r="T21" s="21"/>
      <c r="U21" s="21"/>
    </row>
    <row r="22" s="4" customFormat="1" ht="43" customHeight="1" spans="2:25">
      <c r="B22" s="22">
        <v>2</v>
      </c>
      <c r="C22" s="22" t="s">
        <v>24</v>
      </c>
      <c r="D22" s="28">
        <v>27452.9</v>
      </c>
      <c r="E22" s="28"/>
      <c r="F22" s="29">
        <f>'[1]2024年9月成本结转'!$G$10</f>
        <v>382.02</v>
      </c>
      <c r="G22" s="30">
        <v>1.7</v>
      </c>
      <c r="H22" s="30">
        <f>F22/G22</f>
        <v>224.717647058824</v>
      </c>
      <c r="I22" s="28" t="s">
        <v>50</v>
      </c>
      <c r="J22" s="28">
        <v>6</v>
      </c>
      <c r="K22" s="29">
        <f t="shared" si="14"/>
        <v>1348.31</v>
      </c>
      <c r="L22" s="29"/>
      <c r="M22" s="29">
        <f>ROUND(K22/2,2)</f>
        <v>674.16</v>
      </c>
      <c r="N22" s="22" t="s">
        <v>54</v>
      </c>
      <c r="O22" s="31" t="s">
        <v>55</v>
      </c>
      <c r="P22" s="27" t="s">
        <v>53</v>
      </c>
      <c r="Q22" s="21"/>
      <c r="R22" s="21"/>
      <c r="S22" s="21"/>
      <c r="T22" s="21"/>
      <c r="U22" s="21"/>
    </row>
    <row r="23" s="4" customFormat="1" ht="37" customHeight="1" spans="2:25">
      <c r="B23" s="22">
        <v>3</v>
      </c>
      <c r="C23" s="22" t="s">
        <v>33</v>
      </c>
      <c r="D23" s="29">
        <v>51342.3</v>
      </c>
      <c r="E23" s="29">
        <v>51342.3</v>
      </c>
      <c r="F23" s="29"/>
      <c r="G23" s="30">
        <v>1</v>
      </c>
      <c r="H23" s="30">
        <f>D23/G23</f>
        <v>51342.3</v>
      </c>
      <c r="I23" s="28" t="s">
        <v>50</v>
      </c>
      <c r="J23" s="28">
        <v>3</v>
      </c>
      <c r="K23" s="29">
        <f t="shared" si="14"/>
        <v>154026.9</v>
      </c>
      <c r="L23" s="29"/>
      <c r="M23" s="29">
        <f>K23/2</f>
        <v>77013.45</v>
      </c>
      <c r="N23" s="22"/>
      <c r="O23" s="31" t="s">
        <v>56</v>
      </c>
      <c r="P23" s="27" t="s">
        <v>57</v>
      </c>
      <c r="Q23" s="21"/>
      <c r="R23" s="21"/>
      <c r="S23" s="21"/>
      <c r="T23" s="21"/>
      <c r="U23" s="21"/>
    </row>
    <row r="24" s="4" customFormat="1" ht="19" customHeight="1" spans="2:25">
      <c r="B24" s="22" t="s">
        <v>19</v>
      </c>
      <c r="C24" s="22"/>
      <c r="D24" s="28"/>
      <c r="E24" s="28"/>
      <c r="F24" s="29">
        <f>SUM(F21:F23)</f>
        <v>1781.01</v>
      </c>
      <c r="G24" s="30"/>
      <c r="H24" s="30"/>
      <c r="I24" s="30"/>
      <c r="J24" s="30"/>
      <c r="K24" s="29">
        <f>SUM(K21:K23)</f>
        <v>161882.14</v>
      </c>
      <c r="L24" s="29"/>
      <c r="M24" s="29">
        <f>SUM(M21:M23)</f>
        <v>80941.08</v>
      </c>
      <c r="N24" s="22"/>
      <c r="O24" s="26"/>
      <c r="P24" s="26"/>
      <c r="Q24" s="21"/>
      <c r="R24" s="21"/>
      <c r="S24" s="21"/>
      <c r="T24" s="21"/>
      <c r="U24" s="21"/>
    </row>
    <row r="25" s="5" customFormat="1" ht="22.5" customHeight="1" spans="2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2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2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2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2:25">
      <c r="C29" s="32"/>
      <c r="D29" s="32"/>
      <c r="E29" s="32"/>
      <c r="F29" s="32"/>
      <c r="G29" s="32"/>
      <c r="H29" s="32"/>
      <c r="I29" s="32"/>
      <c r="J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2:25">
      <c r="C30" s="32"/>
      <c r="D30" s="32"/>
      <c r="E30" s="32"/>
      <c r="F30" s="32"/>
      <c r="G30" s="32"/>
      <c r="H30" s="32"/>
      <c r="I30" s="32"/>
      <c r="J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2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  <row r="32" s="5" customFormat="1" ht="22.5" customHeight="1" spans="2:25">
      <c r="C32" s="32"/>
      <c r="D32" s="32"/>
      <c r="E32" s="32"/>
      <c r="F32" s="32"/>
      <c r="G32" s="32"/>
      <c r="O32" s="33"/>
      <c r="P32" s="33"/>
      <c r="Q32" s="33"/>
      <c r="R32" s="33"/>
      <c r="S32" s="33"/>
      <c r="T32" s="34"/>
      <c r="U32" s="35"/>
      <c r="X32" s="36"/>
      <c r="Y32" s="36"/>
    </row>
    <row r="33" s="5" customFormat="1" ht="22.5" customHeight="1" spans="3:25">
      <c r="C33" s="32"/>
      <c r="D33" s="32"/>
      <c r="E33" s="32"/>
      <c r="F33" s="32"/>
      <c r="G33" s="32"/>
      <c r="O33" s="33"/>
      <c r="P33" s="33"/>
      <c r="Q33" s="33"/>
      <c r="R33" s="33"/>
      <c r="S33" s="33"/>
      <c r="T33" s="34"/>
      <c r="U33" s="35"/>
      <c r="X33" s="36"/>
      <c r="Y33" s="36"/>
    </row>
  </sheetData>
  <mergeCells count="5">
    <mergeCell ref="A1:S1"/>
    <mergeCell ref="A16:B16"/>
    <mergeCell ref="A3:A5"/>
    <mergeCell ref="A6:A8"/>
    <mergeCell ref="A10:A12"/>
  </mergeCells>
  <pageMargins left="0.75" right="0.75" top="1" bottom="1" header="0.5" footer="0.5"/>
  <headerFooter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33"/>
  <sheetViews>
    <sheetView tabSelected="1" view="pageBreakPreview" zoomScaleNormal="100" topLeftCell="G12" workbookViewId="0">
      <selection activeCell="U18" sqref="U18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4.4444444444444" style="1" customWidth="1"/>
    <col min="9" max="10" width="9.62962962962963" style="1" customWidth="1"/>
    <col min="11" max="11" width="13.1111111111111" style="1" customWidth="1"/>
    <col min="12" max="12" width="9.62962962962963" style="1" customWidth="1"/>
    <col min="13" max="13" width="13.3333333333333" style="1" customWidth="1"/>
    <col min="14" max="14" width="13.4444444444444" style="1" customWidth="1"/>
    <col min="15" max="15" width="13.2222222222222" style="1" customWidth="1"/>
    <col min="16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110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/>
      <c r="D3" s="10"/>
      <c r="E3" s="10">
        <f t="shared" ref="E3:E8" si="0">C3+D3</f>
        <v>0</v>
      </c>
      <c r="F3" s="10">
        <f>E3/1.09*9%</f>
        <v>0</v>
      </c>
      <c r="G3" s="10">
        <f t="shared" ref="G3:G8" si="1">F3*0.07</f>
        <v>0</v>
      </c>
      <c r="H3" s="10">
        <f t="shared" ref="H3:H8" si="2">F3*0.03</f>
        <v>0</v>
      </c>
      <c r="I3" s="10">
        <f t="shared" ref="I3:I8" si="3">F3*0.02</f>
        <v>0</v>
      </c>
      <c r="J3" s="10">
        <f t="shared" ref="J3:J9" si="4">E3*0.0005</f>
        <v>0</v>
      </c>
      <c r="K3" s="10"/>
      <c r="L3" s="10"/>
      <c r="M3" s="10"/>
      <c r="N3" s="10"/>
      <c r="O3" s="10"/>
      <c r="P3" s="10"/>
      <c r="Q3" s="10"/>
      <c r="R3" s="10"/>
      <c r="S3" s="11">
        <f t="shared" ref="S3:S15" si="5">SUM(F3:R3)</f>
        <v>0</v>
      </c>
    </row>
    <row r="4" s="3" customFormat="1" ht="20" customHeight="1" spans="1:20">
      <c r="A4" s="8"/>
      <c r="B4" s="9" t="s">
        <v>22</v>
      </c>
      <c r="C4" s="10"/>
      <c r="D4" s="10"/>
      <c r="E4" s="10">
        <f t="shared" si="0"/>
        <v>0</v>
      </c>
      <c r="F4" s="10">
        <f>E4/1.09*9%</f>
        <v>0</v>
      </c>
      <c r="G4" s="10">
        <f t="shared" si="1"/>
        <v>0</v>
      </c>
      <c r="H4" s="10">
        <f t="shared" si="2"/>
        <v>0</v>
      </c>
      <c r="I4" s="10">
        <f t="shared" si="3"/>
        <v>0</v>
      </c>
      <c r="J4" s="10">
        <f t="shared" si="4"/>
        <v>0</v>
      </c>
      <c r="K4" s="10"/>
      <c r="L4" s="10"/>
      <c r="M4" s="10"/>
      <c r="N4" s="10"/>
      <c r="O4" s="10"/>
      <c r="P4" s="10"/>
      <c r="Q4" s="10"/>
      <c r="R4" s="10"/>
      <c r="S4" s="11">
        <f t="shared" si="5"/>
        <v>0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0"/>
        <v>0</v>
      </c>
      <c r="F5" s="10">
        <f>E5/1.09*9%</f>
        <v>0</v>
      </c>
      <c r="G5" s="10">
        <f t="shared" si="1"/>
        <v>0</v>
      </c>
      <c r="H5" s="10">
        <f t="shared" si="2"/>
        <v>0</v>
      </c>
      <c r="I5" s="10">
        <f t="shared" si="3"/>
        <v>0</v>
      </c>
      <c r="J5" s="10">
        <f t="shared" si="4"/>
        <v>0</v>
      </c>
      <c r="K5" s="10"/>
      <c r="L5" s="10"/>
      <c r="M5" s="10"/>
      <c r="N5" s="10"/>
      <c r="O5" s="10"/>
      <c r="P5" s="10"/>
      <c r="Q5" s="10"/>
      <c r="R5" s="10"/>
      <c r="S5" s="11">
        <f t="shared" si="5"/>
        <v>0</v>
      </c>
    </row>
    <row r="6" s="3" customFormat="1" ht="20" customHeight="1" spans="1:20">
      <c r="A6" s="8" t="s">
        <v>24</v>
      </c>
      <c r="B6" s="9" t="s">
        <v>21</v>
      </c>
      <c r="C6" s="10"/>
      <c r="D6" s="10"/>
      <c r="E6" s="10">
        <f t="shared" si="0"/>
        <v>0</v>
      </c>
      <c r="F6" s="10">
        <f t="shared" ref="F6:F8" si="6">E6/1.05*0.05</f>
        <v>0</v>
      </c>
      <c r="G6" s="10">
        <f t="shared" si="1"/>
        <v>0</v>
      </c>
      <c r="H6" s="10">
        <f t="shared" si="2"/>
        <v>0</v>
      </c>
      <c r="I6" s="10">
        <f t="shared" si="3"/>
        <v>0</v>
      </c>
      <c r="J6" s="10">
        <f t="shared" si="4"/>
        <v>0</v>
      </c>
      <c r="K6" s="10"/>
      <c r="L6" s="10"/>
      <c r="M6" s="10"/>
      <c r="N6" s="10"/>
      <c r="O6" s="10"/>
      <c r="P6" s="10"/>
      <c r="Q6" s="10"/>
      <c r="R6" s="10"/>
      <c r="S6" s="11">
        <f t="shared" si="5"/>
        <v>0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0"/>
        <v>0</v>
      </c>
      <c r="F7" s="10">
        <f t="shared" si="6"/>
        <v>0</v>
      </c>
      <c r="G7" s="10">
        <f t="shared" si="1"/>
        <v>0</v>
      </c>
      <c r="H7" s="10">
        <f t="shared" si="2"/>
        <v>0</v>
      </c>
      <c r="I7" s="10">
        <f t="shared" si="3"/>
        <v>0</v>
      </c>
      <c r="J7" s="10">
        <f t="shared" si="4"/>
        <v>0</v>
      </c>
      <c r="K7" s="10">
        <f>(E7-F7)*0.03</f>
        <v>0</v>
      </c>
      <c r="L7" s="10"/>
      <c r="M7" s="10"/>
      <c r="N7" s="10"/>
      <c r="O7" s="10"/>
      <c r="P7" s="10"/>
      <c r="Q7" s="10"/>
      <c r="R7" s="10"/>
      <c r="S7" s="11">
        <f t="shared" si="5"/>
        <v>0</v>
      </c>
    </row>
    <row r="8" s="3" customFormat="1" ht="20" customHeight="1" spans="1:20">
      <c r="A8" s="8"/>
      <c r="B8" s="9" t="s">
        <v>23</v>
      </c>
      <c r="C8" s="10"/>
      <c r="D8" s="10">
        <v>30000</v>
      </c>
      <c r="E8" s="10">
        <f t="shared" si="0"/>
        <v>30000</v>
      </c>
      <c r="F8" s="10">
        <f t="shared" si="6"/>
        <v>1428.57142857143</v>
      </c>
      <c r="G8" s="10">
        <f t="shared" si="1"/>
        <v>100</v>
      </c>
      <c r="H8" s="10">
        <f t="shared" si="2"/>
        <v>42.8571428571429</v>
      </c>
      <c r="I8" s="10">
        <f t="shared" si="3"/>
        <v>28.5714285714286</v>
      </c>
      <c r="J8" s="10"/>
      <c r="K8" s="10"/>
      <c r="L8" s="10"/>
      <c r="M8" s="10"/>
      <c r="N8" s="10"/>
      <c r="O8" s="10"/>
      <c r="P8" s="10"/>
      <c r="Q8" s="10"/>
      <c r="R8" s="10"/>
      <c r="S8" s="11">
        <f t="shared" si="5"/>
        <v>1600</v>
      </c>
    </row>
    <row r="9" s="3" customFormat="1" ht="20" customHeight="1" spans="1:20">
      <c r="A9" s="12" t="s">
        <v>33</v>
      </c>
      <c r="B9" s="9" t="s">
        <v>33</v>
      </c>
      <c r="C9" s="10"/>
      <c r="D9" s="10"/>
      <c r="E9" s="10"/>
      <c r="F9" s="10"/>
      <c r="G9" s="10"/>
      <c r="H9" s="10"/>
      <c r="I9" s="10"/>
      <c r="J9" s="10">
        <f t="shared" si="4"/>
        <v>0</v>
      </c>
      <c r="K9" s="10"/>
      <c r="L9" s="10"/>
      <c r="M9" s="10"/>
      <c r="N9" s="10"/>
      <c r="O9" s="10"/>
      <c r="P9" s="10"/>
      <c r="Q9" s="10"/>
      <c r="R9" s="10"/>
      <c r="S9" s="11">
        <f t="shared" si="5"/>
        <v>0</v>
      </c>
    </row>
    <row r="10" s="3" customFormat="1" ht="20" customHeight="1" spans="1:20">
      <c r="A10" s="12" t="s">
        <v>25</v>
      </c>
      <c r="B10" s="9" t="s">
        <v>20</v>
      </c>
      <c r="C10" s="10"/>
      <c r="D10" s="10">
        <v>26570</v>
      </c>
      <c r="E10" s="10">
        <f t="shared" ref="E10:E15" si="7">C10+D10</f>
        <v>26570</v>
      </c>
      <c r="F10" s="10">
        <f>E10/1.09*9%</f>
        <v>2193.85321100917</v>
      </c>
      <c r="G10" s="10">
        <f t="shared" ref="G10:G14" si="8">F10*0.07</f>
        <v>153.569724770642</v>
      </c>
      <c r="H10" s="10">
        <f t="shared" ref="H10:H14" si="9">F10*0.03</f>
        <v>65.8155963302752</v>
      </c>
      <c r="I10" s="10">
        <f t="shared" ref="I10:I14" si="10">F10*0.02</f>
        <v>43.8770642201835</v>
      </c>
      <c r="J10" s="10">
        <f>E10*0.001</f>
        <v>26.57</v>
      </c>
      <c r="K10" s="10"/>
      <c r="L10" s="10">
        <v>556.135469699447</v>
      </c>
      <c r="M10" s="10"/>
      <c r="N10" s="10"/>
      <c r="O10" s="10"/>
      <c r="P10" s="10"/>
      <c r="Q10" s="10"/>
      <c r="R10" s="10"/>
      <c r="S10" s="11">
        <f t="shared" si="5"/>
        <v>3039.82106602972</v>
      </c>
    </row>
    <row r="11" s="3" customFormat="1" ht="20" customHeight="1" spans="1:20">
      <c r="A11" s="13"/>
      <c r="B11" s="9" t="s">
        <v>24</v>
      </c>
      <c r="C11" s="10"/>
      <c r="D11" s="10"/>
      <c r="E11" s="10">
        <f t="shared" si="7"/>
        <v>0</v>
      </c>
      <c r="F11" s="10">
        <f>E11/1.05*0.05</f>
        <v>0</v>
      </c>
      <c r="G11" s="10">
        <f t="shared" si="8"/>
        <v>0</v>
      </c>
      <c r="H11" s="10">
        <f>F11*3%</f>
        <v>0</v>
      </c>
      <c r="I11" s="10">
        <f>F11*2%</f>
        <v>0</v>
      </c>
      <c r="J11" s="10">
        <f t="shared" ref="J11:J15" si="11">E11*0.0005</f>
        <v>0</v>
      </c>
      <c r="K11" s="10"/>
      <c r="L11" s="10"/>
      <c r="M11" s="10"/>
      <c r="N11" s="10"/>
      <c r="O11" s="10"/>
      <c r="P11" s="10"/>
      <c r="Q11" s="10"/>
      <c r="R11" s="10"/>
      <c r="S11" s="11">
        <f t="shared" si="5"/>
        <v>0</v>
      </c>
    </row>
    <row r="12" s="3" customFormat="1" ht="20" customHeight="1" spans="1:20">
      <c r="A12" s="14"/>
      <c r="B12" s="9" t="s">
        <v>33</v>
      </c>
      <c r="C12" s="10"/>
      <c r="D12" s="10"/>
      <c r="E12" s="10"/>
      <c r="F12" s="10"/>
      <c r="G12" s="10"/>
      <c r="H12" s="10"/>
      <c r="I12" s="10"/>
      <c r="J12" s="10">
        <f t="shared" si="11"/>
        <v>0</v>
      </c>
      <c r="K12" s="10"/>
      <c r="L12" s="10"/>
      <c r="M12" s="10"/>
      <c r="N12" s="10"/>
      <c r="O12" s="10"/>
      <c r="P12" s="10"/>
      <c r="Q12" s="10"/>
      <c r="R12" s="10"/>
      <c r="S12" s="11">
        <f t="shared" si="5"/>
        <v>0</v>
      </c>
    </row>
    <row r="13" s="3" customFormat="1" ht="20" customHeight="1" spans="1:20">
      <c r="A13" s="8" t="s">
        <v>26</v>
      </c>
      <c r="B13" s="9" t="s">
        <v>27</v>
      </c>
      <c r="C13" s="10"/>
      <c r="D13" s="10"/>
      <c r="E13" s="10">
        <f t="shared" si="7"/>
        <v>0</v>
      </c>
      <c r="F13" s="10">
        <f>E13/1.05*0.05</f>
        <v>0</v>
      </c>
      <c r="G13" s="10">
        <f t="shared" si="8"/>
        <v>0</v>
      </c>
      <c r="H13" s="10">
        <f t="shared" si="9"/>
        <v>0</v>
      </c>
      <c r="I13" s="10">
        <f t="shared" si="10"/>
        <v>0</v>
      </c>
      <c r="J13" s="10">
        <f t="shared" si="11"/>
        <v>0</v>
      </c>
      <c r="K13" s="10"/>
      <c r="L13" s="10"/>
      <c r="M13" s="10"/>
      <c r="N13" s="10"/>
      <c r="O13" s="10"/>
      <c r="P13" s="10"/>
      <c r="Q13" s="10"/>
      <c r="R13" s="10"/>
      <c r="S13" s="11">
        <f t="shared" si="5"/>
        <v>0</v>
      </c>
    </row>
    <row r="14" s="3" customFormat="1" ht="20" customHeight="1" spans="1:20">
      <c r="A14" s="8"/>
      <c r="B14" s="9" t="s">
        <v>28</v>
      </c>
      <c r="C14" s="10"/>
      <c r="D14" s="10"/>
      <c r="E14" s="10">
        <f t="shared" si="7"/>
        <v>0</v>
      </c>
      <c r="F14" s="10">
        <f>E14/1.06*0.06</f>
        <v>0</v>
      </c>
      <c r="G14" s="10">
        <f t="shared" si="8"/>
        <v>0</v>
      </c>
      <c r="H14" s="10">
        <f t="shared" si="9"/>
        <v>0</v>
      </c>
      <c r="I14" s="10">
        <f t="shared" si="10"/>
        <v>0</v>
      </c>
      <c r="J14" s="10">
        <f t="shared" si="11"/>
        <v>0</v>
      </c>
      <c r="K14" s="10"/>
      <c r="L14" s="10"/>
      <c r="M14" s="10"/>
      <c r="N14" s="10"/>
      <c r="O14" s="10"/>
      <c r="P14" s="10"/>
      <c r="Q14" s="10"/>
      <c r="R14" s="10"/>
      <c r="S14" s="11">
        <f t="shared" si="5"/>
        <v>0</v>
      </c>
    </row>
    <row r="15" s="3" customFormat="1" ht="20" customHeight="1" spans="1:20">
      <c r="A15" s="8"/>
      <c r="B15" s="9" t="s">
        <v>29</v>
      </c>
      <c r="C15" s="10"/>
      <c r="D15" s="10"/>
      <c r="E15" s="10">
        <f t="shared" si="7"/>
        <v>0</v>
      </c>
      <c r="F15" s="10"/>
      <c r="G15" s="10">
        <f t="shared" ref="G15:I15" si="12">G4+G10+G3</f>
        <v>153.569724770642</v>
      </c>
      <c r="H15" s="10">
        <f>H4+H10+H3+H8</f>
        <v>108.672739187418</v>
      </c>
      <c r="I15" s="10">
        <f>I4+I10+I3+I8</f>
        <v>72.4484927916121</v>
      </c>
      <c r="J15" s="10">
        <f t="shared" si="11"/>
        <v>0</v>
      </c>
      <c r="K15" s="10"/>
      <c r="L15" s="10"/>
      <c r="M15" s="10"/>
      <c r="N15" s="10"/>
      <c r="O15" s="10"/>
      <c r="P15" s="10"/>
      <c r="Q15" s="10"/>
      <c r="R15" s="10"/>
      <c r="S15" s="11">
        <f t="shared" si="5"/>
        <v>334.690956749672</v>
      </c>
    </row>
    <row r="16" s="3" customFormat="1" ht="20" customHeight="1" spans="1:20">
      <c r="A16" s="15" t="s">
        <v>19</v>
      </c>
      <c r="B16" s="15"/>
      <c r="C16" s="16">
        <f t="shared" ref="C16:S16" si="13">SUM(C3:C14)-C15</f>
        <v>0</v>
      </c>
      <c r="D16" s="16">
        <f t="shared" si="13"/>
        <v>56570</v>
      </c>
      <c r="E16" s="16">
        <f t="shared" si="13"/>
        <v>56570</v>
      </c>
      <c r="F16" s="16">
        <f t="shared" si="13"/>
        <v>3622.4246395806</v>
      </c>
      <c r="G16" s="16">
        <f t="shared" si="13"/>
        <v>100</v>
      </c>
      <c r="H16" s="16">
        <f t="shared" si="13"/>
        <v>0</v>
      </c>
      <c r="I16" s="16">
        <f t="shared" si="13"/>
        <v>0</v>
      </c>
      <c r="J16" s="16">
        <f t="shared" si="13"/>
        <v>26.57</v>
      </c>
      <c r="K16" s="16">
        <f t="shared" si="13"/>
        <v>0</v>
      </c>
      <c r="L16" s="16">
        <f t="shared" si="13"/>
        <v>556.135469699447</v>
      </c>
      <c r="M16" s="16">
        <f t="shared" si="13"/>
        <v>0</v>
      </c>
      <c r="N16" s="16">
        <f t="shared" si="13"/>
        <v>0</v>
      </c>
      <c r="O16" s="16">
        <f t="shared" si="13"/>
        <v>0</v>
      </c>
      <c r="P16" s="16">
        <f t="shared" si="13"/>
        <v>0</v>
      </c>
      <c r="Q16" s="16">
        <f t="shared" si="13"/>
        <v>0</v>
      </c>
      <c r="R16" s="16">
        <f t="shared" si="13"/>
        <v>0</v>
      </c>
      <c r="S16" s="16">
        <f t="shared" si="13"/>
        <v>4305.13010928005</v>
      </c>
      <c r="T16" s="17"/>
    </row>
    <row r="17" s="1" customFormat="1" customHeight="1" spans="2:25">
      <c r="B17" s="1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M17" s="18"/>
      <c r="N17" s="18"/>
      <c r="P17" s="18"/>
      <c r="Q17" s="18"/>
      <c r="R17" s="18"/>
      <c r="S17" s="18"/>
      <c r="T17" s="18"/>
    </row>
    <row r="18" s="1" customFormat="1" customHeight="1" spans="2:25">
      <c r="B18" s="1" t="s">
        <v>31</v>
      </c>
      <c r="F18" s="18"/>
      <c r="G18" s="18"/>
      <c r="H18" s="18"/>
      <c r="I18" s="18"/>
    </row>
    <row r="19" s="4" customFormat="1" ht="14.4" spans="2:25">
      <c r="B19" s="19" t="s">
        <v>34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  <c r="P19" s="21"/>
      <c r="Q19" s="21"/>
      <c r="R19" s="21"/>
      <c r="S19" s="21"/>
      <c r="T19" s="21"/>
      <c r="U19" s="21"/>
    </row>
    <row r="20" s="4" customFormat="1" ht="33" customHeight="1" spans="2:25">
      <c r="B20" s="22" t="s">
        <v>35</v>
      </c>
      <c r="C20" s="22" t="s">
        <v>36</v>
      </c>
      <c r="D20" s="23" t="s">
        <v>37</v>
      </c>
      <c r="E20" s="24" t="s">
        <v>38</v>
      </c>
      <c r="F20" s="24" t="s">
        <v>39</v>
      </c>
      <c r="G20" s="22" t="s">
        <v>40</v>
      </c>
      <c r="H20" s="25" t="s">
        <v>41</v>
      </c>
      <c r="I20" s="22" t="s">
        <v>42</v>
      </c>
      <c r="J20" s="22" t="s">
        <v>43</v>
      </c>
      <c r="K20" s="22" t="s">
        <v>44</v>
      </c>
      <c r="L20" s="22"/>
      <c r="M20" s="22" t="s">
        <v>45</v>
      </c>
      <c r="N20" s="22" t="s">
        <v>46</v>
      </c>
      <c r="O20" s="26" t="s">
        <v>47</v>
      </c>
      <c r="P20" s="27" t="s">
        <v>48</v>
      </c>
      <c r="Q20" s="21"/>
      <c r="R20" s="21"/>
      <c r="S20" s="21"/>
      <c r="T20" s="21"/>
      <c r="U20" s="21"/>
    </row>
    <row r="21" s="4" customFormat="1" ht="37" customHeight="1" spans="2:25">
      <c r="B21" s="22">
        <v>1</v>
      </c>
      <c r="C21" s="22" t="s">
        <v>49</v>
      </c>
      <c r="D21" s="28">
        <v>37188.2</v>
      </c>
      <c r="E21" s="28">
        <v>37057</v>
      </c>
      <c r="F21" s="29">
        <f>'[1]2024年9月成本结转'!$B$23</f>
        <v>1398.99</v>
      </c>
      <c r="G21" s="30">
        <v>1.29</v>
      </c>
      <c r="H21" s="30">
        <f>F21/G21</f>
        <v>1084.48837209302</v>
      </c>
      <c r="I21" s="28" t="s">
        <v>50</v>
      </c>
      <c r="J21" s="28">
        <v>6</v>
      </c>
      <c r="K21" s="29">
        <f t="shared" ref="K21:K23" si="14">ROUND(H21*J21,2)</f>
        <v>6506.93</v>
      </c>
      <c r="L21" s="29"/>
      <c r="M21" s="29">
        <f>ROUND(K21/2,2)</f>
        <v>3253.47</v>
      </c>
      <c r="N21" s="22" t="s">
        <v>51</v>
      </c>
      <c r="O21" s="31" t="s">
        <v>52</v>
      </c>
      <c r="P21" s="27" t="s">
        <v>53</v>
      </c>
      <c r="Q21" s="21"/>
      <c r="R21" s="21"/>
      <c r="S21" s="21"/>
      <c r="T21" s="21"/>
      <c r="U21" s="21"/>
    </row>
    <row r="22" s="4" customFormat="1" ht="43" customHeight="1" spans="2:25">
      <c r="B22" s="22">
        <v>2</v>
      </c>
      <c r="C22" s="22" t="s">
        <v>24</v>
      </c>
      <c r="D22" s="28">
        <v>27452.9</v>
      </c>
      <c r="E22" s="28"/>
      <c r="F22" s="29">
        <f>'[1]2024年9月成本结转'!$G$10</f>
        <v>382.02</v>
      </c>
      <c r="G22" s="30">
        <v>1.7</v>
      </c>
      <c r="H22" s="30">
        <f>F22/G22</f>
        <v>224.717647058824</v>
      </c>
      <c r="I22" s="28" t="s">
        <v>50</v>
      </c>
      <c r="J22" s="28">
        <v>6</v>
      </c>
      <c r="K22" s="29">
        <f t="shared" si="14"/>
        <v>1348.31</v>
      </c>
      <c r="L22" s="29"/>
      <c r="M22" s="29">
        <f>ROUND(K22/2,2)</f>
        <v>674.16</v>
      </c>
      <c r="N22" s="22" t="s">
        <v>54</v>
      </c>
      <c r="O22" s="31" t="s">
        <v>55</v>
      </c>
      <c r="P22" s="27" t="s">
        <v>53</v>
      </c>
      <c r="Q22" s="21"/>
      <c r="R22" s="21"/>
      <c r="S22" s="21"/>
      <c r="T22" s="21"/>
      <c r="U22" s="21"/>
    </row>
    <row r="23" s="4" customFormat="1" ht="37" customHeight="1" spans="2:25">
      <c r="B23" s="22">
        <v>3</v>
      </c>
      <c r="C23" s="22" t="s">
        <v>33</v>
      </c>
      <c r="D23" s="29">
        <v>51342.3</v>
      </c>
      <c r="E23" s="29">
        <v>51342.3</v>
      </c>
      <c r="F23" s="29"/>
      <c r="G23" s="30">
        <v>1</v>
      </c>
      <c r="H23" s="30">
        <f>D23/G23</f>
        <v>51342.3</v>
      </c>
      <c r="I23" s="28" t="s">
        <v>50</v>
      </c>
      <c r="J23" s="28">
        <v>3</v>
      </c>
      <c r="K23" s="29">
        <f t="shared" si="14"/>
        <v>154026.9</v>
      </c>
      <c r="L23" s="29"/>
      <c r="M23" s="29">
        <f>K23/2</f>
        <v>77013.45</v>
      </c>
      <c r="N23" s="22"/>
      <c r="O23" s="31" t="s">
        <v>56</v>
      </c>
      <c r="P23" s="27" t="s">
        <v>57</v>
      </c>
      <c r="Q23" s="21"/>
      <c r="R23" s="21"/>
      <c r="S23" s="21"/>
      <c r="T23" s="21"/>
      <c r="U23" s="21"/>
    </row>
    <row r="24" s="4" customFormat="1" ht="19" customHeight="1" spans="2:25">
      <c r="B24" s="22" t="s">
        <v>19</v>
      </c>
      <c r="C24" s="22"/>
      <c r="D24" s="28"/>
      <c r="E24" s="28"/>
      <c r="F24" s="29">
        <f>SUM(F21:F23)</f>
        <v>1781.01</v>
      </c>
      <c r="G24" s="30"/>
      <c r="H24" s="30"/>
      <c r="I24" s="30"/>
      <c r="J24" s="30"/>
      <c r="K24" s="29">
        <f>SUM(K21:K23)</f>
        <v>161882.14</v>
      </c>
      <c r="L24" s="29"/>
      <c r="M24" s="29">
        <f>SUM(M21:M23)</f>
        <v>80941.08</v>
      </c>
      <c r="N24" s="22"/>
      <c r="O24" s="26"/>
      <c r="P24" s="26"/>
      <c r="Q24" s="21"/>
      <c r="R24" s="21"/>
      <c r="S24" s="21"/>
      <c r="T24" s="21"/>
      <c r="U24" s="21"/>
    </row>
    <row r="25" s="5" customFormat="1" ht="22.5" customHeight="1" spans="2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2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2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2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2:25">
      <c r="C29" s="32"/>
      <c r="D29" s="32"/>
      <c r="E29" s="32"/>
      <c r="F29" s="32"/>
      <c r="G29" s="32"/>
      <c r="H29" s="32"/>
      <c r="I29" s="32"/>
      <c r="J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2:25">
      <c r="C30" s="32"/>
      <c r="D30" s="32"/>
      <c r="E30" s="32"/>
      <c r="F30" s="32"/>
      <c r="G30" s="32"/>
      <c r="H30" s="32"/>
      <c r="I30" s="32"/>
      <c r="J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2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  <row r="32" s="5" customFormat="1" ht="22.5" customHeight="1" spans="2:25">
      <c r="C32" s="32"/>
      <c r="D32" s="32"/>
      <c r="E32" s="32"/>
      <c r="F32" s="32"/>
      <c r="G32" s="32"/>
      <c r="O32" s="33"/>
      <c r="P32" s="33"/>
      <c r="Q32" s="33"/>
      <c r="R32" s="33"/>
      <c r="S32" s="33"/>
      <c r="T32" s="34"/>
      <c r="U32" s="35"/>
      <c r="X32" s="36"/>
      <c r="Y32" s="36"/>
    </row>
    <row r="33" s="5" customFormat="1" ht="22.5" customHeight="1" spans="3:25">
      <c r="C33" s="32"/>
      <c r="D33" s="32"/>
      <c r="E33" s="32"/>
      <c r="F33" s="32"/>
      <c r="G33" s="32"/>
      <c r="O33" s="33"/>
      <c r="P33" s="33"/>
      <c r="Q33" s="33"/>
      <c r="R33" s="33"/>
      <c r="S33" s="33"/>
      <c r="T33" s="34"/>
      <c r="U33" s="35"/>
      <c r="X33" s="36"/>
      <c r="Y33" s="36"/>
    </row>
  </sheetData>
  <mergeCells count="5">
    <mergeCell ref="A1:S1"/>
    <mergeCell ref="A16:B16"/>
    <mergeCell ref="A3:A5"/>
    <mergeCell ref="A6:A8"/>
    <mergeCell ref="A10:A12"/>
  </mergeCells>
  <printOptions horizontalCentered="1"/>
  <pageMargins left="0.751388888888889" right="0.751388888888889" top="1" bottom="1" header="0" footer="0"/>
  <pageSetup paperSize="9" scale="59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1月</vt:lpstr>
      <vt:lpstr>3月</vt:lpstr>
      <vt:lpstr>4月</vt:lpstr>
      <vt:lpstr>Sheet1</vt:lpstr>
      <vt:lpstr>5月</vt:lpstr>
      <vt:lpstr>6月</vt:lpstr>
      <vt:lpstr>7月</vt:lpstr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二哈哈</cp:lastModifiedBy>
  <dcterms:created xsi:type="dcterms:W3CDTF">2026-02-04T07:58:00Z</dcterms:created>
  <dcterms:modified xsi:type="dcterms:W3CDTF">2026-09-18T04:34:16Z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7D31B824F192417DA782C842E3E1427F_11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