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考勤!$A$5:$AY$6</definedName>
    <definedName name="_xlnm.Print_Area" localSheetId="2">考勤!$A$1:$AZ$12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</t>
        </r>
        <r>
          <rPr>
            <b/>
            <sz val="12"/>
            <rFont val="宋体"/>
            <charset val="134"/>
          </rPr>
          <t>特殊类扣款或特殊类补贴，须在备注栏载明详细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<sst xmlns="http://schemas.openxmlformats.org/spreadsheetml/2006/main" count="297" uniqueCount="92">
  <si>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</si>
  <si>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</si>
  <si>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</si>
  <si>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</si>
  <si>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</si>
  <si>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</si>
  <si>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</si>
  <si>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</si>
  <si>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</si>
  <si>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</si>
  <si>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</si>
  <si>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</si>
  <si>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</si>
  <si>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</si>
  <si>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</si>
  <si>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</si>
  <si>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</si>
  <si>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</si>
  <si>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</si>
  <si>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</si>
  <si>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</si>
  <si>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</si>
  <si>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</si>
  <si>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</si>
  <si>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</si>
  <si>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</si>
  <si>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</si>
  <si>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</si>
  <si>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</si>
  <si>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库尔勒创智源物业服务有限公司</t>
  </si>
  <si>
    <t>库尔勒创智源房地产经纪有限公司2026年3月工资表</t>
  </si>
  <si>
    <t>序号</t>
  </si>
  <si>
    <t>姓名</t>
  </si>
  <si>
    <t>岗位</t>
  </si>
  <si>
    <t>职务序列</t>
  </si>
  <si>
    <t>师艳莉</t>
  </si>
  <si>
    <t>招商主管</t>
  </si>
  <si>
    <t>PM</t>
  </si>
  <si>
    <t>李秀莲</t>
  </si>
  <si>
    <t>置业顾问</t>
  </si>
  <si>
    <t>PA</t>
  </si>
  <si>
    <t>连阵阵</t>
  </si>
  <si>
    <t>米云鹤</t>
  </si>
  <si>
    <t>张玉琴</t>
  </si>
  <si>
    <t>合计</t>
  </si>
  <si>
    <t>注</t>
  </si>
  <si>
    <t>佣金列为1月佣金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</si>
  <si>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</si>
  <si>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</si>
  <si>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</si>
  <si>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</si>
  <si>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</si>
  <si>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</si>
  <si>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</si>
  <si>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</si>
  <si>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</si>
  <si>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</si>
  <si>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</si>
  <si>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</si>
  <si>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</si>
  <si>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</si>
  <si>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</si>
  <si>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</si>
  <si>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</si>
  <si>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</si>
  <si>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</si>
  <si>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</si>
  <si>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</si>
  <si>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</si>
  <si>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</si>
  <si>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</si>
  <si>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</si>
  <si>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</si>
  <si>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</si>
  <si>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</si>
  <si>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注：</t>
  </si>
  <si>
    <t>月度应发</t>
  </si>
  <si>
    <t>差额</t>
  </si>
  <si>
    <t>病假扣款</t>
  </si>
  <si>
    <t>销售提成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</si>
  <si>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</si>
  <si>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</si>
  <si>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</si>
  <si>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</si>
  <si>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</si>
  <si>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</si>
  <si>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</si>
  <si>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</si>
  <si>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M1</t>
  </si>
  <si>
    <t>M2</t>
  </si>
  <si>
    <t>M3</t>
  </si>
  <si>
    <t>PB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</si>
</sst>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4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15" applyNumberFormat="0" applyAlignment="0" applyProtection="0">
      <alignment vertical="center"/>
    </xf>
    <xf numFmtId="0" fontId="28" fillId="8" borderId="16" applyNumberFormat="0" applyAlignment="0" applyProtection="0">
      <alignment vertical="center"/>
    </xf>
    <xf numFmtId="0" fontId="29" fillId="8" borderId="15" applyNumberFormat="0" applyAlignment="0" applyProtection="0">
      <alignment vertical="center"/>
    </xf>
    <xf numFmtId="0" fontId="30" fillId="9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4" fillId="2" borderId="7" xfId="50" applyFont="1" applyFill="1" applyBorder="1" applyAlignment="1">
      <alignment horizontal="center" vertical="center" wrapText="1"/>
    </xf>
    <xf numFmtId="0" fontId="4" fillId="2" borderId="8" xfId="50" applyFont="1" applyFill="1" applyBorder="1" applyAlignment="1">
      <alignment horizontal="center" vertical="center" wrapText="1"/>
    </xf>
    <xf numFmtId="0" fontId="6" fillId="2" borderId="9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6" fillId="2" borderId="6" xfId="50" applyFont="1" applyFill="1" applyBorder="1" applyAlignment="1">
      <alignment horizontal="left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6" fillId="2" borderId="1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8" fillId="0" borderId="0" xfId="52" applyFont="1" applyFill="1" applyBorder="1" applyAlignment="1">
      <alignment horizontal="center" vertical="center"/>
    </xf>
    <xf numFmtId="0" fontId="10" fillId="0" borderId="0" xfId="53" applyFont="1" applyFill="1" applyBorder="1" applyAlignment="1">
      <alignment horizontal="center" vertical="center"/>
    </xf>
    <xf numFmtId="0" fontId="10" fillId="0" borderId="0" xfId="5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6" fontId="15" fillId="3" borderId="1" xfId="0" applyNumberFormat="1" applyFont="1" applyFill="1" applyBorder="1" applyAlignment="1">
      <alignment horizontal="center" vertical="center" shrinkToFit="1"/>
    </xf>
    <xf numFmtId="176" fontId="15" fillId="4" borderId="1" xfId="0" applyNumberFormat="1" applyFont="1" applyFill="1" applyBorder="1" applyAlignment="1">
      <alignment horizontal="center" vertical="center" shrinkToFit="1"/>
    </xf>
    <xf numFmtId="176" fontId="15" fillId="5" borderId="1" xfId="0" applyNumberFormat="1" applyFont="1" applyFill="1" applyBorder="1" applyAlignment="1">
      <alignment horizontal="center" vertical="center"/>
    </xf>
    <xf numFmtId="43" fontId="15" fillId="0" borderId="1" xfId="0" applyNumberFormat="1" applyFont="1" applyBorder="1" applyAlignment="1">
      <alignment horizontal="center" vertical="center" wrapText="1"/>
    </xf>
    <xf numFmtId="176" fontId="15" fillId="5" borderId="1" xfId="0" applyNumberFormat="1" applyFont="1" applyFill="1" applyBorder="1" applyAlignment="1">
      <alignment horizontal="center" vertical="center" wrapText="1"/>
    </xf>
    <xf numFmtId="43" fontId="14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 shrinkToFit="1"/>
    </xf>
    <xf numFmtId="0" fontId="17" fillId="0" borderId="0" xfId="0" applyFont="1" applyFill="1" applyAlignment="1">
      <alignment vertical="center" wrapText="1" shrinkToFit="1"/>
    </xf>
    <xf numFmtId="176" fontId="18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10"/>
  <sheetViews>
    <sheetView zoomScale="55" zoomScaleNormal="55" workbookViewId="0">
      <selection activeCell="H6" sqref="H6"/>
    </sheetView>
  </sheetViews>
  <sheetFormatPr defaultColWidth="9" defaultRowHeight="14.4"/>
  <cols>
    <col min="1" max="1" width="31.3796296296296" style="1" customWidth="1"/>
    <col min="2" max="2" width="9" style="1"/>
    <col min="3" max="6" width="11.5092592592593" style="1" customWidth="1"/>
    <col min="7" max="7" width="9.37962962962963" style="1" customWidth="1"/>
    <col min="8" max="11" width="9" style="1"/>
    <col min="12" max="13" width="9.37962962962963" style="1"/>
    <col min="14" max="16" width="13.75" style="1" customWidth="1"/>
    <col min="17" max="17" width="11.5092592592593" style="1" customWidth="1"/>
    <col min="18" max="18" width="9.37962962962963" style="1"/>
    <col min="19" max="20" width="9" style="1"/>
    <col min="21" max="22" width="13.75" style="1" customWidth="1"/>
    <col min="23" max="23" width="9" style="1"/>
    <col min="24" max="24" width="9.37962962962963" style="1"/>
    <col min="25" max="25" width="13" style="1" customWidth="1"/>
    <col min="26" max="16384" width="9" style="1"/>
  </cols>
  <sheetData>
    <row r="2" s="52" customFormat="1" ht="50" customHeight="1" spans="1:26">
      <c r="A2" s="78" t="s">
        <v>0</v>
      </c>
      <c r="B2" s="78"/>
      <c r="C2" s="78"/>
      <c r="D2" s="78"/>
      <c r="E2" s="78"/>
      <c r="F2" s="78"/>
      <c r="G2" s="78"/>
      <c r="H2" s="78" t="s">
        <v>1</v>
      </c>
      <c r="I2" s="78"/>
      <c r="J2" s="78"/>
      <c r="K2" s="78"/>
      <c r="L2" s="78"/>
      <c r="M2" s="78"/>
      <c r="N2" s="78" t="s">
        <v>2</v>
      </c>
      <c r="O2" s="78"/>
      <c r="P2" s="78"/>
      <c r="Q2" s="78"/>
      <c r="R2" s="78" t="s">
        <v>3</v>
      </c>
      <c r="S2" s="78"/>
      <c r="T2" s="78"/>
      <c r="U2" s="78"/>
      <c r="V2" s="78"/>
      <c r="W2" s="78"/>
      <c r="X2" s="78"/>
      <c r="Y2" s="78" t="s">
        <v>4</v>
      </c>
      <c r="Z2" s="78" t="s">
        <v>5</v>
      </c>
    </row>
    <row r="3" s="52" customFormat="1" ht="50" customHeight="1" spans="1:26">
      <c r="A3" s="78" t="s">
        <v>6</v>
      </c>
      <c r="B3" s="78" t="s">
        <v>7</v>
      </c>
      <c r="C3" s="78" t="s">
        <v>8</v>
      </c>
      <c r="D3" s="78" t="s">
        <v>9</v>
      </c>
      <c r="E3" s="78" t="s">
        <v>10</v>
      </c>
      <c r="F3" s="78" t="s">
        <v>11</v>
      </c>
      <c r="G3" s="78" t="s">
        <v>12</v>
      </c>
      <c r="H3" s="78" t="s">
        <v>13</v>
      </c>
      <c r="I3" s="78" t="s">
        <v>14</v>
      </c>
      <c r="J3" s="78" t="s">
        <v>15</v>
      </c>
      <c r="K3" s="78" t="s">
        <v>16</v>
      </c>
      <c r="L3" s="78" t="s">
        <v>17</v>
      </c>
      <c r="M3" s="78" t="s">
        <v>18</v>
      </c>
      <c r="N3" s="78" t="s">
        <v>19</v>
      </c>
      <c r="O3" s="78" t="s">
        <v>20</v>
      </c>
      <c r="P3" s="78" t="s">
        <v>21</v>
      </c>
      <c r="Q3" s="78" t="s">
        <v>22</v>
      </c>
      <c r="R3" s="78" t="s">
        <v>23</v>
      </c>
      <c r="S3" s="78" t="s">
        <v>24</v>
      </c>
      <c r="T3" s="78" t="s">
        <v>25</v>
      </c>
      <c r="U3" s="78" t="s">
        <v>26</v>
      </c>
      <c r="V3" s="78" t="s">
        <v>27</v>
      </c>
      <c r="W3" s="78" t="s">
        <v>28</v>
      </c>
      <c r="X3" s="78" t="s">
        <v>18</v>
      </c>
      <c r="Y3" s="78"/>
      <c r="Z3" s="78"/>
    </row>
    <row r="4" s="51" customFormat="1" ht="50" customHeight="1" spans="1:26">
      <c r="A4" s="2" t="s">
        <v>29</v>
      </c>
      <c r="B4" s="2">
        <f>工资表!A8</f>
        <v>5</v>
      </c>
      <c r="C4" s="79">
        <f>工资表!E9</f>
        <v>24000</v>
      </c>
      <c r="D4" s="79"/>
      <c r="E4" s="79">
        <f>工资表!G9</f>
        <v>15750</v>
      </c>
      <c r="F4" s="79">
        <f>工资表!H9</f>
        <v>8250</v>
      </c>
      <c r="G4" s="79"/>
      <c r="H4" s="79"/>
      <c r="I4" s="79"/>
      <c r="J4" s="79"/>
      <c r="K4" s="79"/>
      <c r="L4" s="79">
        <f>工资表!N9</f>
        <v>10849.6</v>
      </c>
      <c r="M4" s="79">
        <f>工资表!O9</f>
        <v>10849.6</v>
      </c>
      <c r="N4" s="79"/>
      <c r="O4" s="79"/>
      <c r="P4" s="79"/>
      <c r="Q4" s="79">
        <f>工资表!S9</f>
        <v>41213.2363636364</v>
      </c>
      <c r="R4" s="79">
        <f>工资表!T9</f>
        <v>2027.6</v>
      </c>
      <c r="S4" s="79">
        <f>工资表!U9</f>
        <v>126.75</v>
      </c>
      <c r="T4" s="79">
        <f>工资表!V9</f>
        <v>506.9</v>
      </c>
      <c r="U4" s="79">
        <f>工资表!W9</f>
        <v>105.6</v>
      </c>
      <c r="V4" s="79">
        <f>工资表!X9</f>
        <v>1250</v>
      </c>
      <c r="W4" s="79">
        <f>工资表!Y9</f>
        <v>458.57</v>
      </c>
      <c r="X4" s="79">
        <f>工资表!Z9</f>
        <v>4475.42</v>
      </c>
      <c r="Y4" s="79">
        <f>工资表!AA9</f>
        <v>36737.8163636364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12"/>
  <sheetViews>
    <sheetView tabSelected="1" zoomScale="50" zoomScaleNormal="50" workbookViewId="0">
      <pane xSplit="3" ySplit="3" topLeftCell="K4" activePane="bottomRight" state="frozen"/>
      <selection/>
      <selection pane="topRight"/>
      <selection pane="bottomLeft"/>
      <selection pane="bottomRight" activeCell="AB10" sqref="AB10"/>
    </sheetView>
  </sheetViews>
  <sheetFormatPr defaultColWidth="9" defaultRowHeight="20" customHeight="1"/>
  <cols>
    <col min="1" max="1" width="9" style="1"/>
    <col min="2" max="2" width="14.3796296296296" style="1" customWidth="1"/>
    <col min="3" max="3" width="22.25" style="1" customWidth="1"/>
    <col min="4" max="4" width="14" style="1" customWidth="1"/>
    <col min="5" max="5" width="19" style="1" customWidth="1"/>
    <col min="6" max="6" width="11.75" style="1" customWidth="1"/>
    <col min="7" max="8" width="19" style="1"/>
    <col min="9" max="9" width="26.3703703703704" style="1" customWidth="1"/>
    <col min="10" max="10" width="14.8796296296296" style="1"/>
    <col min="11" max="11" width="14.75" style="1" customWidth="1"/>
    <col min="12" max="12" width="14" style="1" customWidth="1"/>
    <col min="13" max="13" width="14.25" style="1" customWidth="1"/>
    <col min="14" max="14" width="17.8055555555556" style="1" customWidth="1"/>
    <col min="15" max="15" width="19.0648148148148" style="1" customWidth="1"/>
    <col min="16" max="17" width="19.75" style="1" customWidth="1"/>
    <col min="18" max="18" width="14.25" style="1" customWidth="1"/>
    <col min="19" max="19" width="19" style="1"/>
    <col min="20" max="20" width="16.5555555555556" style="1" customWidth="1"/>
    <col min="21" max="21" width="16.25" style="1" customWidth="1"/>
    <col min="22" max="22" width="18.4351851851852" style="1" customWidth="1"/>
    <col min="23" max="24" width="15.3055555555556" style="1" customWidth="1"/>
    <col min="25" max="25" width="17.4722222222222" style="1" customWidth="1"/>
    <col min="26" max="26" width="20" style="1" customWidth="1"/>
    <col min="27" max="27" width="22.5092592592593" style="1" customWidth="1"/>
    <col min="28" max="28" width="16.8796296296296" style="1" customWidth="1"/>
    <col min="29" max="29" width="9.66666666666667" style="1"/>
    <col min="30" max="16384" width="9" style="1"/>
  </cols>
  <sheetData>
    <row r="1" s="51" customFormat="1" ht="71" customHeight="1" spans="1:34">
      <c r="A1" s="54" t="s">
        <v>30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</row>
    <row r="2" s="52" customFormat="1" ht="78" customHeight="1" spans="1:34">
      <c r="A2" s="55" t="s">
        <v>31</v>
      </c>
      <c r="B2" s="56" t="s">
        <v>0</v>
      </c>
      <c r="C2" s="56"/>
      <c r="D2" s="56"/>
      <c r="E2" s="56"/>
      <c r="F2" s="56"/>
      <c r="G2" s="56"/>
      <c r="H2" s="56"/>
      <c r="I2" s="56"/>
      <c r="J2" s="57" t="s">
        <v>1</v>
      </c>
      <c r="K2" s="58"/>
      <c r="L2" s="58"/>
      <c r="M2" s="58"/>
      <c r="N2" s="58"/>
      <c r="O2" s="59"/>
      <c r="P2" s="57" t="s">
        <v>2</v>
      </c>
      <c r="Q2" s="58"/>
      <c r="R2" s="58"/>
      <c r="S2" s="59"/>
      <c r="T2" s="57" t="s">
        <v>3</v>
      </c>
      <c r="U2" s="58"/>
      <c r="V2" s="58"/>
      <c r="W2" s="58"/>
      <c r="X2" s="58"/>
      <c r="Y2" s="58"/>
      <c r="Z2" s="59"/>
      <c r="AA2" s="56" t="s">
        <v>4</v>
      </c>
      <c r="AB2" s="56" t="s">
        <v>5</v>
      </c>
    </row>
    <row r="3" s="52" customFormat="1" ht="78" customHeight="1" spans="1:34">
      <c r="A3" s="60"/>
      <c r="B3" s="56" t="s">
        <v>32</v>
      </c>
      <c r="C3" s="56" t="s">
        <v>33</v>
      </c>
      <c r="D3" s="61" t="s">
        <v>34</v>
      </c>
      <c r="E3" s="61" t="s">
        <v>8</v>
      </c>
      <c r="F3" s="61" t="s">
        <v>9</v>
      </c>
      <c r="G3" s="61" t="s">
        <v>10</v>
      </c>
      <c r="H3" s="61" t="s">
        <v>11</v>
      </c>
      <c r="I3" s="61" t="s">
        <v>12</v>
      </c>
      <c r="J3" s="61" t="s">
        <v>13</v>
      </c>
      <c r="K3" s="61" t="s">
        <v>14</v>
      </c>
      <c r="L3" s="61" t="s">
        <v>15</v>
      </c>
      <c r="M3" s="56" t="s">
        <v>16</v>
      </c>
      <c r="N3" s="56" t="s">
        <v>17</v>
      </c>
      <c r="O3" s="56" t="s">
        <v>18</v>
      </c>
      <c r="P3" s="61" t="s">
        <v>19</v>
      </c>
      <c r="Q3" s="61" t="s">
        <v>20</v>
      </c>
      <c r="R3" s="61" t="s">
        <v>21</v>
      </c>
      <c r="S3" s="62" t="s">
        <v>22</v>
      </c>
      <c r="T3" s="56" t="s">
        <v>23</v>
      </c>
      <c r="U3" s="56" t="s">
        <v>24</v>
      </c>
      <c r="V3" s="56" t="s">
        <v>25</v>
      </c>
      <c r="W3" s="61" t="s">
        <v>26</v>
      </c>
      <c r="X3" s="61" t="s">
        <v>27</v>
      </c>
      <c r="Y3" s="56" t="s">
        <v>28</v>
      </c>
      <c r="Z3" s="56" t="s">
        <v>18</v>
      </c>
      <c r="AA3" s="56"/>
      <c r="AB3" s="56"/>
    </row>
    <row r="4" s="51" customFormat="1" ht="78" customHeight="1" spans="1:34">
      <c r="A4" s="63">
        <v>1</v>
      </c>
      <c r="B4" s="63" t="s">
        <v>35</v>
      </c>
      <c r="C4" s="63" t="s">
        <v>36</v>
      </c>
      <c r="D4" s="63" t="s">
        <v>37</v>
      </c>
      <c r="E4" s="64">
        <v>7000</v>
      </c>
      <c r="F4" s="64">
        <v>11</v>
      </c>
      <c r="G4" s="64">
        <f>E4*VLOOKUP(D4,职务序列取数!B:E,2,0)</f>
        <v>4900</v>
      </c>
      <c r="H4" s="64">
        <f>E4*VLOOKUP(D4,职务序列取数!B:E,3,0)</f>
        <v>2100</v>
      </c>
      <c r="I4" s="65">
        <f>E4*VLOOKUP(D4,职务序列取数!B:E,4,0)</f>
        <v>0</v>
      </c>
      <c r="J4" s="65"/>
      <c r="K4" s="65"/>
      <c r="L4" s="65"/>
      <c r="M4" s="65"/>
      <c r="N4" s="65"/>
      <c r="O4" s="66">
        <f>SUM(J4:N4)</f>
        <v>0</v>
      </c>
      <c r="P4" s="65">
        <f>G4/F4</f>
        <v>445.454545454545</v>
      </c>
      <c r="Q4" s="65">
        <f>H4/F4</f>
        <v>190.909090909091</v>
      </c>
      <c r="R4" s="67">
        <f>VLOOKUP(B4,考勤!B:AI,34,0)</f>
        <v>21</v>
      </c>
      <c r="S4" s="62">
        <f>(P4*R4)+(Q4*R4)+O4</f>
        <v>13363.6363636364</v>
      </c>
      <c r="T4" s="68">
        <f>405.52</f>
        <v>405.52</v>
      </c>
      <c r="U4" s="68">
        <v>25.35</v>
      </c>
      <c r="V4" s="68">
        <f>101.38</f>
        <v>101.38</v>
      </c>
      <c r="W4" s="68">
        <v>21.12</v>
      </c>
      <c r="X4" s="69">
        <v>250</v>
      </c>
      <c r="Y4" s="70">
        <v>196.81</v>
      </c>
      <c r="Z4" s="66">
        <f>SUM(T4:Y4)</f>
        <v>1000.18</v>
      </c>
      <c r="AA4" s="62">
        <f>S4-Z4</f>
        <v>12363.4563636364</v>
      </c>
      <c r="AB4" s="71"/>
    </row>
    <row r="5" s="1" customFormat="1" ht="78" customHeight="1" spans="1:34">
      <c r="A5" s="63">
        <v>2</v>
      </c>
      <c r="B5" s="63" t="s">
        <v>38</v>
      </c>
      <c r="C5" s="63" t="s">
        <v>39</v>
      </c>
      <c r="D5" s="63" t="s">
        <v>40</v>
      </c>
      <c r="E5" s="64">
        <v>4000</v>
      </c>
      <c r="F5" s="64">
        <v>27</v>
      </c>
      <c r="G5" s="64">
        <v>2450</v>
      </c>
      <c r="H5" s="64">
        <f t="shared" ref="H5:H8" si="0">E5-G5</f>
        <v>1550</v>
      </c>
      <c r="I5" s="65">
        <f>E5*VLOOKUP(D5,职务序列取数!B:E,4,0)</f>
        <v>0</v>
      </c>
      <c r="J5" s="65"/>
      <c r="K5" s="65"/>
      <c r="L5" s="65"/>
      <c r="M5" s="65"/>
      <c r="N5" s="65">
        <v>1320.8</v>
      </c>
      <c r="O5" s="66">
        <f>SUM(J5:N5)</f>
        <v>1320.8</v>
      </c>
      <c r="P5" s="65">
        <f>G5/F5</f>
        <v>90.7407407407407</v>
      </c>
      <c r="Q5" s="65">
        <f>H5/F5</f>
        <v>57.4074074074074</v>
      </c>
      <c r="R5" s="67">
        <f>VLOOKUP(B5,考勤!B:AI,34,0)</f>
        <v>27</v>
      </c>
      <c r="S5" s="62">
        <f>(P5*R5)+(Q5*R5)+O5</f>
        <v>5320.8</v>
      </c>
      <c r="T5" s="68">
        <f>405.52</f>
        <v>405.52</v>
      </c>
      <c r="U5" s="68">
        <v>25.35</v>
      </c>
      <c r="V5" s="68">
        <f>101.38</f>
        <v>101.38</v>
      </c>
      <c r="W5" s="68">
        <v>21.12</v>
      </c>
      <c r="X5" s="69">
        <v>250</v>
      </c>
      <c r="Y5" s="70"/>
      <c r="Z5" s="66">
        <f>SUM(T5:Y5)</f>
        <v>803.37</v>
      </c>
      <c r="AA5" s="62">
        <f>S5-Z5</f>
        <v>4517.43</v>
      </c>
      <c r="AB5" s="71"/>
      <c r="AC5" s="51"/>
      <c r="AD5" s="51"/>
    </row>
    <row r="6" s="1" customFormat="1" ht="78" customHeight="1" spans="1:34">
      <c r="A6" s="63">
        <v>3</v>
      </c>
      <c r="B6" s="63" t="s">
        <v>41</v>
      </c>
      <c r="C6" s="63" t="s">
        <v>39</v>
      </c>
      <c r="D6" s="63" t="s">
        <v>40</v>
      </c>
      <c r="E6" s="64">
        <v>4000</v>
      </c>
      <c r="F6" s="64">
        <v>27</v>
      </c>
      <c r="G6" s="64">
        <v>2450</v>
      </c>
      <c r="H6" s="64">
        <f t="shared" si="0"/>
        <v>1550</v>
      </c>
      <c r="I6" s="65">
        <f>E6*VLOOKUP(D6,职务序列取数!B:E,4,0)</f>
        <v>0</v>
      </c>
      <c r="J6" s="65"/>
      <c r="K6" s="65"/>
      <c r="L6" s="65"/>
      <c r="M6" s="65"/>
      <c r="N6" s="65"/>
      <c r="O6" s="66">
        <f>SUM(J6:N6)</f>
        <v>0</v>
      </c>
      <c r="P6" s="65">
        <f>G6/F6</f>
        <v>90.7407407407407</v>
      </c>
      <c r="Q6" s="65">
        <f>H6/F6</f>
        <v>57.4074074074074</v>
      </c>
      <c r="R6" s="67">
        <f>VLOOKUP(B6,考勤!B:AI,34,0)</f>
        <v>27</v>
      </c>
      <c r="S6" s="62">
        <f>(P6*R6)+(Q6*R6)+O6</f>
        <v>4000</v>
      </c>
      <c r="T6" s="68">
        <f>405.52</f>
        <v>405.52</v>
      </c>
      <c r="U6" s="68">
        <v>25.35</v>
      </c>
      <c r="V6" s="68">
        <f>101.38</f>
        <v>101.38</v>
      </c>
      <c r="W6" s="68">
        <v>21.12</v>
      </c>
      <c r="X6" s="69">
        <v>250</v>
      </c>
      <c r="Y6" s="70"/>
      <c r="Z6" s="66">
        <f>SUM(T6:Y6)</f>
        <v>803.37</v>
      </c>
      <c r="AA6" s="62">
        <f>S6-Z6</f>
        <v>3196.63</v>
      </c>
      <c r="AB6" s="71"/>
      <c r="AC6" s="51"/>
      <c r="AD6" s="51"/>
    </row>
    <row r="7" s="1" customFormat="1" ht="78" customHeight="1" spans="1:34">
      <c r="A7" s="63">
        <v>4</v>
      </c>
      <c r="B7" s="63" t="s">
        <v>42</v>
      </c>
      <c r="C7" s="63" t="s">
        <v>39</v>
      </c>
      <c r="D7" s="63" t="s">
        <v>37</v>
      </c>
      <c r="E7" s="64">
        <v>5000</v>
      </c>
      <c r="F7" s="64">
        <v>27</v>
      </c>
      <c r="G7" s="64">
        <f>E7*VLOOKUP(D7,职务序列取数!B:E,2,0)</f>
        <v>3500</v>
      </c>
      <c r="H7" s="64">
        <f>E7*VLOOKUP(D7,职务序列取数!B:E,3,0)</f>
        <v>1500</v>
      </c>
      <c r="I7" s="65">
        <f>E7*VLOOKUP(D7,职务序列取数!B:E,4,0)</f>
        <v>0</v>
      </c>
      <c r="J7" s="65"/>
      <c r="K7" s="65"/>
      <c r="L7" s="65"/>
      <c r="M7" s="65"/>
      <c r="N7" s="65">
        <v>9528.8</v>
      </c>
      <c r="O7" s="66">
        <f>SUM(J7:N7)</f>
        <v>9528.8</v>
      </c>
      <c r="P7" s="65">
        <f>G7/F7</f>
        <v>129.62962962963</v>
      </c>
      <c r="Q7" s="65">
        <f>H7/F7</f>
        <v>55.5555555555556</v>
      </c>
      <c r="R7" s="67">
        <f>VLOOKUP(B7,考勤!B:AI,34,0)</f>
        <v>27</v>
      </c>
      <c r="S7" s="62">
        <f>(P7*R7)+(Q7*R7)+O7</f>
        <v>14528.8</v>
      </c>
      <c r="T7" s="68">
        <f>405.52</f>
        <v>405.52</v>
      </c>
      <c r="U7" s="68">
        <v>25.35</v>
      </c>
      <c r="V7" s="68">
        <f>101.38</f>
        <v>101.38</v>
      </c>
      <c r="W7" s="68">
        <v>21.12</v>
      </c>
      <c r="X7" s="69">
        <v>250</v>
      </c>
      <c r="Y7" s="72">
        <v>261.76</v>
      </c>
      <c r="Z7" s="66">
        <f>SUM(T7:Y7)</f>
        <v>1065.13</v>
      </c>
      <c r="AA7" s="62">
        <f>S7-Z7</f>
        <v>13463.67</v>
      </c>
      <c r="AB7" s="71"/>
      <c r="AC7" s="51"/>
      <c r="AD7" s="51"/>
    </row>
    <row r="8" s="1" customFormat="1" ht="78" customHeight="1" spans="1:34">
      <c r="A8" s="63">
        <v>5</v>
      </c>
      <c r="B8" s="63" t="s">
        <v>43</v>
      </c>
      <c r="C8" s="63" t="s">
        <v>39</v>
      </c>
      <c r="D8" s="63" t="s">
        <v>40</v>
      </c>
      <c r="E8" s="64">
        <v>4000</v>
      </c>
      <c r="F8" s="64">
        <v>27</v>
      </c>
      <c r="G8" s="64">
        <v>2450</v>
      </c>
      <c r="H8" s="64">
        <f t="shared" si="0"/>
        <v>1550</v>
      </c>
      <c r="I8" s="65">
        <f>E8*VLOOKUP(D8,职务序列取数!B:E,4,0)</f>
        <v>0</v>
      </c>
      <c r="J8" s="65"/>
      <c r="K8" s="65"/>
      <c r="L8" s="65"/>
      <c r="M8" s="65"/>
      <c r="N8" s="65"/>
      <c r="O8" s="66">
        <f>SUM(J8:N8)</f>
        <v>0</v>
      </c>
      <c r="P8" s="65">
        <f>G8/F8</f>
        <v>90.7407407407407</v>
      </c>
      <c r="Q8" s="65">
        <f>H8/F8</f>
        <v>57.4074074074074</v>
      </c>
      <c r="R8" s="67">
        <f>VLOOKUP(B8,考勤!B:AI,34,0)</f>
        <v>27</v>
      </c>
      <c r="S8" s="62">
        <f>(P8*R8)+(Q8*R8)+O8</f>
        <v>4000</v>
      </c>
      <c r="T8" s="68">
        <f>405.52</f>
        <v>405.52</v>
      </c>
      <c r="U8" s="68">
        <v>25.35</v>
      </c>
      <c r="V8" s="68">
        <f>101.38</f>
        <v>101.38</v>
      </c>
      <c r="W8" s="68">
        <v>21.12</v>
      </c>
      <c r="X8" s="69">
        <v>250</v>
      </c>
      <c r="Y8" s="70"/>
      <c r="Z8" s="66">
        <f>SUM(T8:Y8)</f>
        <v>803.37</v>
      </c>
      <c r="AA8" s="62">
        <f>S8-Z8</f>
        <v>3196.63</v>
      </c>
      <c r="AB8" s="71"/>
      <c r="AC8" s="51"/>
      <c r="AD8" s="51"/>
    </row>
    <row r="9" ht="78" customHeight="1" spans="1:34">
      <c r="A9" s="73"/>
      <c r="B9" s="57" t="s">
        <v>44</v>
      </c>
      <c r="C9" s="59"/>
      <c r="D9" s="73"/>
      <c r="E9" s="62">
        <f>SUM(E4:E8)</f>
        <v>24000</v>
      </c>
      <c r="F9" s="62"/>
      <c r="G9" s="62">
        <f>SUM(G4:G8)</f>
        <v>15750</v>
      </c>
      <c r="H9" s="62">
        <f t="shared" ref="H9:O9" si="1">SUM(H4:H8)</f>
        <v>8250</v>
      </c>
      <c r="I9" s="62">
        <f t="shared" si="1"/>
        <v>0</v>
      </c>
      <c r="J9" s="62">
        <f t="shared" si="1"/>
        <v>0</v>
      </c>
      <c r="K9" s="62">
        <f t="shared" si="1"/>
        <v>0</v>
      </c>
      <c r="L9" s="62">
        <f t="shared" si="1"/>
        <v>0</v>
      </c>
      <c r="M9" s="62">
        <f t="shared" si="1"/>
        <v>0</v>
      </c>
      <c r="N9" s="62">
        <f t="shared" si="1"/>
        <v>10849.6</v>
      </c>
      <c r="O9" s="62">
        <f t="shared" si="1"/>
        <v>10849.6</v>
      </c>
      <c r="P9" s="62"/>
      <c r="Q9" s="62"/>
      <c r="R9" s="62"/>
      <c r="S9" s="62">
        <f t="shared" ref="S9:AA9" si="2">SUM(S4:S8)</f>
        <v>41213.2363636364</v>
      </c>
      <c r="T9" s="62">
        <f t="shared" si="2"/>
        <v>2027.6</v>
      </c>
      <c r="U9" s="62">
        <f t="shared" si="2"/>
        <v>126.75</v>
      </c>
      <c r="V9" s="62">
        <f t="shared" si="2"/>
        <v>506.9</v>
      </c>
      <c r="W9" s="62">
        <f t="shared" si="2"/>
        <v>105.6</v>
      </c>
      <c r="X9" s="62">
        <f t="shared" si="2"/>
        <v>1250</v>
      </c>
      <c r="Y9" s="62">
        <f t="shared" si="2"/>
        <v>458.57</v>
      </c>
      <c r="Z9" s="62">
        <f t="shared" si="2"/>
        <v>4475.42</v>
      </c>
      <c r="AA9" s="62">
        <f t="shared" si="2"/>
        <v>36737.8163636364</v>
      </c>
      <c r="AB9" s="73"/>
    </row>
    <row r="10" ht="72" customHeight="1" spans="1:34">
      <c r="A10" s="74" t="s">
        <v>45</v>
      </c>
      <c r="B10" s="75" t="s">
        <v>46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</row>
    <row r="12" s="53" customFormat="1" ht="80" customHeight="1" spans="1:34">
      <c r="B12" s="53" t="s">
        <v>47</v>
      </c>
      <c r="I12" s="53" t="s">
        <v>48</v>
      </c>
      <c r="Q12" s="53" t="s">
        <v>49</v>
      </c>
      <c r="S12" s="77"/>
      <c r="Y12" s="53" t="s">
        <v>50</v>
      </c>
    </row>
  </sheetData>
  <mergeCells count="10">
    <mergeCell ref="A1:AB1"/>
    <mergeCell ref="B2:I2"/>
    <mergeCell ref="J2:O2"/>
    <mergeCell ref="P2:S2"/>
    <mergeCell ref="T2:Z2"/>
    <mergeCell ref="B9:C9"/>
    <mergeCell ref="B10:S10"/>
    <mergeCell ref="A2:A3"/>
    <mergeCell ref="AA2:AA3"/>
    <mergeCell ref="AB2:AB3"/>
  </mergeCells>
  <printOptions horizontalCentered="1"/>
  <pageMargins left="0.109722222222222" right="0.109722222222222" top="0.751388888888889" bottom="0.751388888888889" header="0.298611111111111" footer="0.298611111111111"/>
  <pageSetup paperSize="9" scale="30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13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G8" sqref="G8"/>
    </sheetView>
  </sheetViews>
  <sheetFormatPr defaultColWidth="2.87962962962963" defaultRowHeight="15" customHeight="1"/>
  <cols>
    <col min="1" max="1" width="4.83333333333333" style="7" customWidth="1"/>
    <col min="2" max="2" width="7" style="7" customWidth="1"/>
    <col min="3" max="3" width="15.6666666666667" style="7" customWidth="1"/>
    <col min="4" max="5" width="4.11111111111111" style="9" customWidth="1"/>
    <col min="6" max="10" width="4.11111111111111" style="7" customWidth="1"/>
    <col min="11" max="14" width="4.11111111111111" style="9" customWidth="1"/>
    <col min="15" max="17" width="4.11111111111111" style="7" customWidth="1"/>
    <col min="18" max="19" width="4.11111111111111" style="9" customWidth="1"/>
    <col min="20" max="24" width="4.11111111111111" style="7" customWidth="1"/>
    <col min="25" max="26" width="4.11111111111111" style="9" customWidth="1"/>
    <col min="27" max="31" width="4.11111111111111" style="7" customWidth="1"/>
    <col min="32" max="33" width="4.11111111111111" style="9" customWidth="1"/>
    <col min="34" max="34" width="4.11111111111111" style="7" customWidth="1"/>
    <col min="35" max="35" width="4.25" style="7" customWidth="1"/>
    <col min="36" max="36" width="2.87962962962963" style="7" customWidth="1"/>
    <col min="37" max="39" width="3.21296296296296" style="7"/>
    <col min="40" max="44" width="3" style="7" customWidth="1"/>
    <col min="45" max="47" width="3.12962962962963" style="7" customWidth="1"/>
    <col min="48" max="48" width="3.21296296296296" style="7" customWidth="1"/>
    <col min="49" max="51" width="3.12962962962963" style="7" customWidth="1"/>
    <col min="52" max="52" width="8.62962962962963" style="7" customWidth="1"/>
    <col min="53" max="255" width="2.87962962962963" style="7"/>
    <col min="256" max="16384" width="2.87962962962963" style="10"/>
  </cols>
  <sheetData>
    <row r="1" ht="34.5" customHeight="1" spans="1:251">
      <c r="A1" s="11">
        <v>2026</v>
      </c>
      <c r="B1" s="1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>
        <v>3</v>
      </c>
      <c r="W1" s="12"/>
      <c r="X1" s="13" t="s">
        <v>51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</row>
    <row r="2" customHeight="1" spans="1:251">
      <c r="A2" s="14"/>
      <c r="B2" s="15" t="s">
        <v>52</v>
      </c>
      <c r="C2" s="14" t="str">
        <f>工资汇总表!A4</f>
        <v>库尔勒创智源物业服务有限公司</v>
      </c>
      <c r="D2" s="14"/>
      <c r="E2" s="14"/>
      <c r="F2" s="14"/>
      <c r="G2" s="14"/>
      <c r="H2" s="14"/>
      <c r="I2" s="14"/>
      <c r="J2" s="16"/>
      <c r="K2" s="17"/>
      <c r="L2" s="17"/>
      <c r="M2" s="17"/>
      <c r="N2" s="17"/>
      <c r="O2" s="16"/>
      <c r="P2" s="16"/>
      <c r="Q2" s="16"/>
      <c r="R2" s="17"/>
      <c r="S2" s="17"/>
      <c r="T2" s="16"/>
      <c r="U2" s="16"/>
      <c r="V2" s="16"/>
      <c r="W2" s="16"/>
      <c r="X2" s="16"/>
      <c r="Y2" s="17"/>
      <c r="Z2" s="17"/>
      <c r="AA2" s="16"/>
      <c r="AB2" s="16"/>
      <c r="AC2" s="16"/>
      <c r="AD2" s="16"/>
      <c r="AE2" s="16"/>
      <c r="AF2" s="17"/>
      <c r="AG2" s="17"/>
      <c r="AH2" s="16"/>
      <c r="AI2" s="16"/>
      <c r="AJ2" s="18"/>
      <c r="AK2" s="19">
        <v>46113</v>
      </c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</row>
    <row r="3" ht="30" customHeight="1" spans="1:251">
      <c r="A3" s="20" t="s">
        <v>31</v>
      </c>
      <c r="B3" s="20" t="s">
        <v>32</v>
      </c>
      <c r="C3" s="20" t="s">
        <v>53</v>
      </c>
      <c r="D3" s="21" t="s">
        <v>54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3"/>
      <c r="AI3" s="20" t="s">
        <v>21</v>
      </c>
      <c r="AJ3" s="20" t="s">
        <v>55</v>
      </c>
      <c r="AK3" s="24" t="s">
        <v>56</v>
      </c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0" t="s">
        <v>57</v>
      </c>
    </row>
    <row r="4" ht="20.1" customHeight="1" spans="1:251">
      <c r="A4" s="26"/>
      <c r="B4" s="26"/>
      <c r="C4" s="26"/>
      <c r="D4" s="27">
        <f>V1</f>
        <v>3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9" t="s">
        <v>58</v>
      </c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30"/>
      <c r="AI4" s="26"/>
      <c r="AJ4" s="26"/>
      <c r="AK4" s="31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26"/>
    </row>
    <row r="5" ht="78" customHeight="1" spans="1:251">
      <c r="A5" s="33"/>
      <c r="B5" s="33"/>
      <c r="C5" s="33"/>
      <c r="D5" s="34">
        <v>1</v>
      </c>
      <c r="E5" s="34">
        <v>2</v>
      </c>
      <c r="F5" s="34">
        <v>3</v>
      </c>
      <c r="G5" s="34">
        <v>4</v>
      </c>
      <c r="H5" s="34">
        <v>5</v>
      </c>
      <c r="I5" s="34">
        <v>6</v>
      </c>
      <c r="J5" s="34">
        <v>7</v>
      </c>
      <c r="K5" s="34">
        <v>8</v>
      </c>
      <c r="L5" s="34">
        <v>9</v>
      </c>
      <c r="M5" s="34">
        <v>10</v>
      </c>
      <c r="N5" s="34">
        <v>11</v>
      </c>
      <c r="O5" s="34">
        <v>12</v>
      </c>
      <c r="P5" s="34">
        <v>13</v>
      </c>
      <c r="Q5" s="34">
        <v>14</v>
      </c>
      <c r="R5" s="34">
        <v>15</v>
      </c>
      <c r="S5" s="34">
        <v>16</v>
      </c>
      <c r="T5" s="34">
        <v>17</v>
      </c>
      <c r="U5" s="34">
        <v>18</v>
      </c>
      <c r="V5" s="34">
        <v>19</v>
      </c>
      <c r="W5" s="34">
        <v>20</v>
      </c>
      <c r="X5" s="34">
        <v>21</v>
      </c>
      <c r="Y5" s="34">
        <v>22</v>
      </c>
      <c r="Z5" s="34">
        <v>23</v>
      </c>
      <c r="AA5" s="34">
        <v>24</v>
      </c>
      <c r="AB5" s="34">
        <v>25</v>
      </c>
      <c r="AC5" s="34">
        <v>26</v>
      </c>
      <c r="AD5" s="34">
        <v>27</v>
      </c>
      <c r="AE5" s="34">
        <v>28</v>
      </c>
      <c r="AF5" s="34">
        <v>29</v>
      </c>
      <c r="AG5" s="34">
        <v>30</v>
      </c>
      <c r="AH5" s="34">
        <v>31</v>
      </c>
      <c r="AI5" s="33"/>
      <c r="AJ5" s="33"/>
      <c r="AK5" s="80" t="s">
        <v>59</v>
      </c>
      <c r="AL5" s="35" t="s">
        <v>60</v>
      </c>
      <c r="AM5" s="35" t="s">
        <v>61</v>
      </c>
      <c r="AN5" s="35" t="s">
        <v>62</v>
      </c>
      <c r="AO5" s="35" t="s">
        <v>63</v>
      </c>
      <c r="AP5" s="35" t="s">
        <v>64</v>
      </c>
      <c r="AQ5" s="35" t="s">
        <v>65</v>
      </c>
      <c r="AR5" s="35" t="s">
        <v>66</v>
      </c>
      <c r="AS5" s="36" t="s">
        <v>67</v>
      </c>
      <c r="AT5" s="36" t="s">
        <v>68</v>
      </c>
      <c r="AU5" s="36" t="s">
        <v>69</v>
      </c>
      <c r="AV5" s="36" t="s">
        <v>70</v>
      </c>
      <c r="AW5" s="36" t="s">
        <v>71</v>
      </c>
      <c r="AX5" s="36" t="s">
        <v>72</v>
      </c>
      <c r="AY5" s="36" t="s">
        <v>73</v>
      </c>
      <c r="AZ5" s="33"/>
    </row>
    <row r="6" s="7" customFormat="1" ht="32" customHeight="1" spans="1:251">
      <c r="A6" s="37">
        <v>1</v>
      </c>
      <c r="B6" s="38" t="str">
        <f>工资表!B4</f>
        <v>师艳莉</v>
      </c>
      <c r="C6" s="39" t="str">
        <f>工资表!C4</f>
        <v>招商主管</v>
      </c>
      <c r="D6" s="40" t="s">
        <v>61</v>
      </c>
      <c r="E6" s="40" t="s">
        <v>74</v>
      </c>
      <c r="F6" s="40" t="s">
        <v>74</v>
      </c>
      <c r="G6" s="40" t="s">
        <v>74</v>
      </c>
      <c r="H6" s="40" t="s">
        <v>74</v>
      </c>
      <c r="I6" s="40" t="s">
        <v>74</v>
      </c>
      <c r="J6" s="40" t="s">
        <v>61</v>
      </c>
      <c r="K6" s="40" t="s">
        <v>61</v>
      </c>
      <c r="L6" s="40" t="s">
        <v>74</v>
      </c>
      <c r="M6" s="40" t="s">
        <v>74</v>
      </c>
      <c r="N6" s="40" t="s">
        <v>74</v>
      </c>
      <c r="O6" s="40" t="s">
        <v>74</v>
      </c>
      <c r="P6" s="40" t="s">
        <v>74</v>
      </c>
      <c r="Q6" s="40" t="s">
        <v>61</v>
      </c>
      <c r="R6" s="40" t="s">
        <v>61</v>
      </c>
      <c r="S6" s="40" t="s">
        <v>74</v>
      </c>
      <c r="T6" s="40" t="s">
        <v>74</v>
      </c>
      <c r="U6" s="40" t="s">
        <v>74</v>
      </c>
      <c r="V6" s="40" t="s">
        <v>74</v>
      </c>
      <c r="W6" s="40" t="s">
        <v>61</v>
      </c>
      <c r="X6" s="40" t="s">
        <v>61</v>
      </c>
      <c r="Y6" s="40" t="s">
        <v>61</v>
      </c>
      <c r="Z6" s="40" t="s">
        <v>74</v>
      </c>
      <c r="AA6" s="40" t="s">
        <v>74</v>
      </c>
      <c r="AB6" s="40" t="s">
        <v>74</v>
      </c>
      <c r="AC6" s="40" t="s">
        <v>74</v>
      </c>
      <c r="AD6" s="40" t="s">
        <v>74</v>
      </c>
      <c r="AE6" s="40" t="s">
        <v>61</v>
      </c>
      <c r="AF6" s="40" t="s">
        <v>61</v>
      </c>
      <c r="AG6" s="40" t="s">
        <v>74</v>
      </c>
      <c r="AH6" s="40" t="s">
        <v>74</v>
      </c>
      <c r="AI6" s="37">
        <f>AK6+AL6+AR6</f>
        <v>21</v>
      </c>
      <c r="AJ6" s="37">
        <f>AM6</f>
        <v>10</v>
      </c>
      <c r="AK6" s="41">
        <f>COUNTIF($D6:$AH6,"√")</f>
        <v>21</v>
      </c>
      <c r="AL6" s="41">
        <f>COUNTIF($D6:$AH6,"出差")</f>
        <v>0</v>
      </c>
      <c r="AM6" s="41">
        <f>COUNTIF($D6:$AH6,"公休")</f>
        <v>10</v>
      </c>
      <c r="AN6" s="41">
        <f>COUNTIF($D6:$AH6,"病假")</f>
        <v>0</v>
      </c>
      <c r="AO6" s="41">
        <f>COUNTIF($D6:$AH6,"事假")</f>
        <v>0</v>
      </c>
      <c r="AP6" s="41">
        <f>COUNTIF($D6:$AH6,"旷工")</f>
        <v>0</v>
      </c>
      <c r="AQ6" s="41">
        <f>COUNTIF($D6:$AH6,"工伤")</f>
        <v>0</v>
      </c>
      <c r="AR6" s="41">
        <f>COUNTIF($D6:$AH6,"培训")</f>
        <v>0</v>
      </c>
      <c r="AS6" s="41">
        <f>COUNTIF($D6:$AH6,"冬休")</f>
        <v>0</v>
      </c>
      <c r="AT6" s="41">
        <f>COUNTIF($D6:$AH6,"休假")</f>
        <v>0</v>
      </c>
      <c r="AU6" s="41">
        <f>COUNTIF($D6:$AH6,"探亲")</f>
        <v>0</v>
      </c>
      <c r="AV6" s="41">
        <f>COUNTIF($D6:$AH6,"产假")</f>
        <v>0</v>
      </c>
      <c r="AW6" s="41">
        <f>COUNTIF($D6:$AH6,"陪护假")</f>
        <v>0</v>
      </c>
      <c r="AX6" s="41">
        <f>COUNTIF($D6:$AH6,"婚丧假")</f>
        <v>0</v>
      </c>
      <c r="AY6" s="41">
        <f>COUNTIF($D6:$AH6,"待岗")</f>
        <v>0</v>
      </c>
      <c r="AZ6" s="42"/>
    </row>
    <row r="7" s="8" customFormat="1" ht="20" customHeight="1" spans="1:251">
      <c r="A7" s="37">
        <v>2</v>
      </c>
      <c r="B7" s="38" t="str">
        <f>工资表!B5</f>
        <v>李秀莲</v>
      </c>
      <c r="C7" s="39" t="str">
        <f>工资表!C5</f>
        <v>置业顾问</v>
      </c>
      <c r="D7" s="40" t="s">
        <v>74</v>
      </c>
      <c r="E7" s="40" t="s">
        <v>74</v>
      </c>
      <c r="F7" s="40" t="s">
        <v>74</v>
      </c>
      <c r="G7" s="40" t="s">
        <v>74</v>
      </c>
      <c r="H7" s="40" t="s">
        <v>74</v>
      </c>
      <c r="I7" s="40" t="s">
        <v>61</v>
      </c>
      <c r="J7" s="40" t="s">
        <v>74</v>
      </c>
      <c r="K7" s="40" t="s">
        <v>74</v>
      </c>
      <c r="L7" s="40" t="s">
        <v>61</v>
      </c>
      <c r="M7" s="40" t="s">
        <v>74</v>
      </c>
      <c r="N7" s="40" t="s">
        <v>74</v>
      </c>
      <c r="O7" s="40" t="s">
        <v>74</v>
      </c>
      <c r="P7" s="40" t="s">
        <v>74</v>
      </c>
      <c r="Q7" s="40" t="s">
        <v>74</v>
      </c>
      <c r="R7" s="40" t="s">
        <v>74</v>
      </c>
      <c r="S7" s="40" t="s">
        <v>74</v>
      </c>
      <c r="T7" s="40" t="s">
        <v>74</v>
      </c>
      <c r="U7" s="40" t="s">
        <v>74</v>
      </c>
      <c r="V7" s="40" t="s">
        <v>74</v>
      </c>
      <c r="W7" s="40" t="s">
        <v>74</v>
      </c>
      <c r="X7" s="40" t="s">
        <v>61</v>
      </c>
      <c r="Y7" s="40" t="s">
        <v>74</v>
      </c>
      <c r="Z7" s="40" t="s">
        <v>74</v>
      </c>
      <c r="AA7" s="40" t="s">
        <v>74</v>
      </c>
      <c r="AB7" s="40" t="s">
        <v>74</v>
      </c>
      <c r="AC7" s="40" t="s">
        <v>74</v>
      </c>
      <c r="AD7" s="40" t="s">
        <v>74</v>
      </c>
      <c r="AE7" s="40" t="s">
        <v>74</v>
      </c>
      <c r="AF7" s="40" t="s">
        <v>61</v>
      </c>
      <c r="AG7" s="40" t="s">
        <v>74</v>
      </c>
      <c r="AH7" s="40" t="s">
        <v>74</v>
      </c>
      <c r="AI7" s="37">
        <f>AK7+AL7+AR7</f>
        <v>27</v>
      </c>
      <c r="AJ7" s="37">
        <f>AM7</f>
        <v>4</v>
      </c>
      <c r="AK7" s="41">
        <f>COUNTIF($D7:$AH7,"√")</f>
        <v>27</v>
      </c>
      <c r="AL7" s="41">
        <f>COUNTIF($D7:$AH7,"出差")</f>
        <v>0</v>
      </c>
      <c r="AM7" s="41">
        <f>COUNTIF($D7:$AH7,"公休")</f>
        <v>4</v>
      </c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3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</row>
    <row r="8" s="8" customFormat="1" ht="20" customHeight="1" spans="1:251">
      <c r="A8" s="37">
        <v>3</v>
      </c>
      <c r="B8" s="38" t="str">
        <f>工资表!B6</f>
        <v>连阵阵</v>
      </c>
      <c r="C8" s="39" t="str">
        <f>工资表!C6</f>
        <v>置业顾问</v>
      </c>
      <c r="D8" s="40" t="s">
        <v>74</v>
      </c>
      <c r="E8" s="40" t="s">
        <v>74</v>
      </c>
      <c r="F8" s="40" t="s">
        <v>74</v>
      </c>
      <c r="G8" s="40" t="s">
        <v>74</v>
      </c>
      <c r="H8" s="40" t="s">
        <v>74</v>
      </c>
      <c r="I8" s="40" t="s">
        <v>74</v>
      </c>
      <c r="J8" s="40" t="s">
        <v>74</v>
      </c>
      <c r="K8" s="40" t="s">
        <v>74</v>
      </c>
      <c r="L8" s="40" t="s">
        <v>74</v>
      </c>
      <c r="M8" s="40" t="s">
        <v>74</v>
      </c>
      <c r="N8" s="40" t="s">
        <v>74</v>
      </c>
      <c r="O8" s="40" t="s">
        <v>74</v>
      </c>
      <c r="P8" s="40" t="s">
        <v>61</v>
      </c>
      <c r="Q8" s="40" t="s">
        <v>74</v>
      </c>
      <c r="R8" s="40" t="s">
        <v>74</v>
      </c>
      <c r="S8" s="40" t="s">
        <v>74</v>
      </c>
      <c r="T8" s="40" t="s">
        <v>74</v>
      </c>
      <c r="U8" s="40" t="s">
        <v>74</v>
      </c>
      <c r="V8" s="40" t="s">
        <v>61</v>
      </c>
      <c r="W8" s="40" t="s">
        <v>61</v>
      </c>
      <c r="X8" s="40" t="s">
        <v>74</v>
      </c>
      <c r="Y8" s="40" t="s">
        <v>74</v>
      </c>
      <c r="Z8" s="40" t="s">
        <v>74</v>
      </c>
      <c r="AA8" s="40" t="s">
        <v>74</v>
      </c>
      <c r="AB8" s="40" t="s">
        <v>74</v>
      </c>
      <c r="AC8" s="40" t="s">
        <v>74</v>
      </c>
      <c r="AD8" s="40" t="s">
        <v>74</v>
      </c>
      <c r="AE8" s="40" t="s">
        <v>74</v>
      </c>
      <c r="AF8" s="40" t="s">
        <v>74</v>
      </c>
      <c r="AG8" s="40" t="s">
        <v>74</v>
      </c>
      <c r="AH8" s="40" t="s">
        <v>61</v>
      </c>
      <c r="AI8" s="37">
        <f>AK8+AL8+AR8</f>
        <v>27</v>
      </c>
      <c r="AJ8" s="37">
        <f>AM8</f>
        <v>4</v>
      </c>
      <c r="AK8" s="41">
        <f>COUNTIF($D8:$AH8,"√")</f>
        <v>27</v>
      </c>
      <c r="AL8" s="41">
        <f>COUNTIF($D8:$AH8,"出差")</f>
        <v>0</v>
      </c>
      <c r="AM8" s="41">
        <f>COUNTIF($D8:$AH8,"公休")</f>
        <v>4</v>
      </c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3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</row>
    <row r="9" s="8" customFormat="1" ht="20" customHeight="1" spans="1:251">
      <c r="A9" s="37">
        <v>4</v>
      </c>
      <c r="B9" s="38" t="str">
        <f>工资表!B7</f>
        <v>米云鹤</v>
      </c>
      <c r="C9" s="39" t="str">
        <f>工资表!C7</f>
        <v>置业顾问</v>
      </c>
      <c r="D9" s="40" t="s">
        <v>74</v>
      </c>
      <c r="E9" s="40" t="s">
        <v>74</v>
      </c>
      <c r="F9" s="40" t="s">
        <v>74</v>
      </c>
      <c r="G9" s="40" t="s">
        <v>74</v>
      </c>
      <c r="H9" s="40" t="s">
        <v>74</v>
      </c>
      <c r="I9" s="40" t="s">
        <v>74</v>
      </c>
      <c r="J9" s="40" t="s">
        <v>74</v>
      </c>
      <c r="K9" s="40" t="s">
        <v>74</v>
      </c>
      <c r="L9" s="40" t="s">
        <v>74</v>
      </c>
      <c r="M9" s="40" t="s">
        <v>74</v>
      </c>
      <c r="N9" s="40" t="s">
        <v>74</v>
      </c>
      <c r="O9" s="40" t="s">
        <v>74</v>
      </c>
      <c r="P9" s="40" t="s">
        <v>61</v>
      </c>
      <c r="Q9" s="40" t="s">
        <v>74</v>
      </c>
      <c r="R9" s="40" t="s">
        <v>74</v>
      </c>
      <c r="S9" s="40" t="s">
        <v>74</v>
      </c>
      <c r="T9" s="40" t="s">
        <v>61</v>
      </c>
      <c r="U9" s="40" t="s">
        <v>74</v>
      </c>
      <c r="V9" s="40" t="s">
        <v>74</v>
      </c>
      <c r="W9" s="40" t="s">
        <v>74</v>
      </c>
      <c r="X9" s="40" t="s">
        <v>74</v>
      </c>
      <c r="Y9" s="40" t="s">
        <v>74</v>
      </c>
      <c r="Z9" s="40" t="s">
        <v>74</v>
      </c>
      <c r="AA9" s="40" t="s">
        <v>74</v>
      </c>
      <c r="AB9" s="40" t="s">
        <v>74</v>
      </c>
      <c r="AC9" s="40" t="s">
        <v>74</v>
      </c>
      <c r="AD9" s="40" t="s">
        <v>74</v>
      </c>
      <c r="AE9" s="40" t="s">
        <v>61</v>
      </c>
      <c r="AF9" s="40" t="s">
        <v>74</v>
      </c>
      <c r="AG9" s="40" t="s">
        <v>61</v>
      </c>
      <c r="AH9" s="40" t="s">
        <v>74</v>
      </c>
      <c r="AI9" s="37">
        <f>AK9+AL9+AR9</f>
        <v>27</v>
      </c>
      <c r="AJ9" s="37">
        <f>AM9</f>
        <v>4</v>
      </c>
      <c r="AK9" s="41">
        <f>COUNTIF($D9:$AH9,"√")</f>
        <v>27</v>
      </c>
      <c r="AL9" s="41">
        <f>COUNTIF($D9:$AH9,"出差")</f>
        <v>0</v>
      </c>
      <c r="AM9" s="41">
        <f>COUNTIF($D9:$AH9,"公休")</f>
        <v>4</v>
      </c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3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</row>
    <row r="10" s="8" customFormat="1" ht="20" customHeight="1" spans="1:251">
      <c r="A10" s="37">
        <v>5</v>
      </c>
      <c r="B10" s="38" t="str">
        <f>工资表!B8</f>
        <v>张玉琴</v>
      </c>
      <c r="C10" s="39" t="str">
        <f>工资表!C8</f>
        <v>置业顾问</v>
      </c>
      <c r="D10" s="40" t="s">
        <v>74</v>
      </c>
      <c r="E10" s="40" t="s">
        <v>74</v>
      </c>
      <c r="F10" s="40" t="s">
        <v>74</v>
      </c>
      <c r="G10" s="40" t="s">
        <v>74</v>
      </c>
      <c r="H10" s="40" t="s">
        <v>74</v>
      </c>
      <c r="I10" s="40" t="s">
        <v>74</v>
      </c>
      <c r="J10" s="40" t="s">
        <v>74</v>
      </c>
      <c r="K10" s="40" t="s">
        <v>74</v>
      </c>
      <c r="L10" s="40" t="s">
        <v>74</v>
      </c>
      <c r="M10" s="40" t="s">
        <v>74</v>
      </c>
      <c r="N10" s="40" t="s">
        <v>74</v>
      </c>
      <c r="O10" s="40" t="s">
        <v>74</v>
      </c>
      <c r="P10" s="40" t="s">
        <v>61</v>
      </c>
      <c r="Q10" s="40" t="s">
        <v>74</v>
      </c>
      <c r="R10" s="40" t="s">
        <v>74</v>
      </c>
      <c r="S10" s="40" t="s">
        <v>61</v>
      </c>
      <c r="T10" s="40" t="s">
        <v>61</v>
      </c>
      <c r="U10" s="40" t="s">
        <v>74</v>
      </c>
      <c r="V10" s="40" t="s">
        <v>74</v>
      </c>
      <c r="W10" s="40" t="s">
        <v>74</v>
      </c>
      <c r="X10" s="40" t="s">
        <v>74</v>
      </c>
      <c r="Y10" s="40" t="s">
        <v>74</v>
      </c>
      <c r="Z10" s="40" t="s">
        <v>74</v>
      </c>
      <c r="AA10" s="40" t="s">
        <v>61</v>
      </c>
      <c r="AB10" s="40" t="s">
        <v>74</v>
      </c>
      <c r="AC10" s="40" t="s">
        <v>74</v>
      </c>
      <c r="AD10" s="40" t="s">
        <v>74</v>
      </c>
      <c r="AE10" s="40" t="s">
        <v>74</v>
      </c>
      <c r="AF10" s="40" t="s">
        <v>74</v>
      </c>
      <c r="AG10" s="40" t="s">
        <v>74</v>
      </c>
      <c r="AH10" s="40" t="s">
        <v>74</v>
      </c>
      <c r="AI10" s="37">
        <f>AK10+AL10+AR10</f>
        <v>27</v>
      </c>
      <c r="AJ10" s="37">
        <f>AM10</f>
        <v>4</v>
      </c>
      <c r="AK10" s="41">
        <f>COUNTIF($D10:$AH10,"√")</f>
        <v>27</v>
      </c>
      <c r="AL10" s="41">
        <f>COUNTIF($D10:$AH10,"出差")</f>
        <v>0</v>
      </c>
      <c r="AM10" s="41">
        <f>COUNTIF($D10:$AH10,"公休")</f>
        <v>4</v>
      </c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3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</row>
    <row r="11" s="8" customFormat="1" ht="20" customHeight="1" spans="1:251">
      <c r="A11" s="7"/>
      <c r="B11" s="44" t="s">
        <v>75</v>
      </c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7"/>
      <c r="AJ11" s="48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9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</row>
    <row r="12" ht="24" customHeight="1" spans="1:251">
      <c r="D12" s="7"/>
      <c r="E12" s="7" t="s">
        <v>47</v>
      </c>
      <c r="K12" s="7"/>
      <c r="L12" s="7"/>
      <c r="M12" s="7"/>
      <c r="N12" s="7"/>
      <c r="R12" s="7"/>
      <c r="S12" s="7"/>
      <c r="U12" s="50"/>
      <c r="V12" s="50" t="s">
        <v>49</v>
      </c>
      <c r="Y12" s="7"/>
      <c r="Z12" s="7"/>
      <c r="AF12" s="7"/>
      <c r="AG12" s="7"/>
      <c r="AI12" s="7" t="s">
        <v>50</v>
      </c>
    </row>
    <row r="13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7"/>
  <sheetViews>
    <sheetView workbookViewId="0">
      <selection activeCell="G8" sqref="G8"/>
    </sheetView>
  </sheetViews>
  <sheetFormatPr defaultColWidth="9" defaultRowHeight="30" customHeight="1" outlineLevelRow="6" outlineLevelCol="6"/>
  <cols>
    <col min="1" max="2" width="9" style="1"/>
    <col min="3" max="3" width="12.8796296296296" style="1" customWidth="1"/>
    <col min="4" max="4" width="17.6296296296296" style="1" customWidth="1"/>
    <col min="5" max="5" width="18.5092592592593" style="1" customWidth="1"/>
    <col min="6" max="6" width="14.3796296296296" style="5" customWidth="1"/>
    <col min="7" max="7" width="23.25" style="1" customWidth="1"/>
    <col min="8" max="16384" width="9" style="1"/>
  </cols>
  <sheetData>
    <row r="2" customHeight="1" spans="1:7">
      <c r="A2" s="1" t="s">
        <v>31</v>
      </c>
      <c r="B2" s="1" t="s">
        <v>32</v>
      </c>
      <c r="C2" s="1" t="s">
        <v>21</v>
      </c>
      <c r="D2" s="1" t="s">
        <v>8</v>
      </c>
      <c r="E2" s="1" t="s">
        <v>76</v>
      </c>
      <c r="F2" s="5" t="s">
        <v>77</v>
      </c>
    </row>
    <row r="3" customHeight="1" spans="1:7">
      <c r="A3" s="1">
        <v>1</v>
      </c>
      <c r="B3" s="1" t="str">
        <f>工资表!B4</f>
        <v>师艳莉</v>
      </c>
      <c r="C3" s="1">
        <f>工资表!R4</f>
        <v>21</v>
      </c>
      <c r="D3" s="6">
        <f>(VLOOKUP(B3,工资表!B4:G9,6,0)+VLOOKUP(B3,工资表!B4:H9,7,0))/工资表!F4*VLOOKUP(B3,考勤!B6:AI11,34,0)</f>
        <v>13363.6363636364</v>
      </c>
      <c r="E3" s="6">
        <f>VLOOKUP(B3,工资表!B4:S9,18,0)</f>
        <v>13363.6363636364</v>
      </c>
      <c r="F3" s="6">
        <f>D3-E3</f>
        <v>0</v>
      </c>
      <c r="G3" s="1" t="s">
        <v>78</v>
      </c>
    </row>
    <row r="4" customHeight="1" spans="1:7">
      <c r="B4" s="1" t="str">
        <f>工资表!B5</f>
        <v>李秀莲</v>
      </c>
      <c r="C4" s="1">
        <f>工资表!R5</f>
        <v>27</v>
      </c>
      <c r="D4" s="6">
        <f>(VLOOKUP(B4,工资表!B5:G10,6,0)+VLOOKUP(B4,工资表!B5:H10,7,0))/工资表!F5*VLOOKUP(B4,考勤!B7:AI12,34,0)</f>
        <v>4000</v>
      </c>
      <c r="E4" s="6">
        <f>VLOOKUP(B4,工资表!B5:S10,18,0)</f>
        <v>5320.8</v>
      </c>
      <c r="F4" s="6">
        <f>D4-E4</f>
        <v>-1320.8</v>
      </c>
      <c r="G4" s="1" t="s">
        <v>79</v>
      </c>
    </row>
    <row r="5" customHeight="1" spans="1:7">
      <c r="B5" s="1" t="str">
        <f>工资表!B6</f>
        <v>连阵阵</v>
      </c>
      <c r="C5" s="1">
        <f>工资表!R6</f>
        <v>27</v>
      </c>
      <c r="D5" s="6">
        <f>(VLOOKUP(B5,工资表!B6:G11,6,0)+VLOOKUP(B5,工资表!B6:H11,7,0))/工资表!F6*VLOOKUP(B5,考勤!B8:AI13,34,0)</f>
        <v>4000</v>
      </c>
      <c r="E5" s="6">
        <f>VLOOKUP(B5,工资表!B6:S11,18,0)</f>
        <v>4000</v>
      </c>
      <c r="F5" s="6">
        <f>D5-E5</f>
        <v>0</v>
      </c>
      <c r="G5" s="1" t="s">
        <v>79</v>
      </c>
    </row>
    <row r="6" customHeight="1" spans="1:7">
      <c r="B6" s="1" t="str">
        <f>工资表!B7</f>
        <v>米云鹤</v>
      </c>
      <c r="C6" s="1">
        <f>工资表!R7</f>
        <v>27</v>
      </c>
      <c r="D6" s="6">
        <f>(VLOOKUP(B6,工资表!B7:G12,6,0)+VLOOKUP(B6,工资表!B7:H12,7,0))/工资表!F7*VLOOKUP(B6,考勤!B9:AI14,34,0)</f>
        <v>5000</v>
      </c>
      <c r="E6" s="6">
        <f>VLOOKUP(B6,工资表!B7:S12,18,0)</f>
        <v>14528.8</v>
      </c>
      <c r="F6" s="6">
        <f>D6-E6</f>
        <v>-9528.8</v>
      </c>
      <c r="G6" s="1" t="s">
        <v>79</v>
      </c>
    </row>
    <row r="7" customHeight="1" spans="1:7">
      <c r="B7" s="1" t="str">
        <f>工资表!B8</f>
        <v>张玉琴</v>
      </c>
      <c r="C7" s="1">
        <f>工资表!R8</f>
        <v>27</v>
      </c>
      <c r="D7" s="6">
        <f>(VLOOKUP(B7,工资表!B8:G13,6,0)+VLOOKUP(B7,工资表!B8:H13,7,0))/工资表!F8*VLOOKUP(B7,考勤!B10:AI15,34,0)</f>
        <v>4000</v>
      </c>
      <c r="E7" s="6">
        <f>VLOOKUP(B7,工资表!B8:S13,18,0)</f>
        <v>4000</v>
      </c>
      <c r="F7" s="6">
        <f>D7-E7</f>
        <v>0</v>
      </c>
      <c r="G7" s="1" t="s">
        <v>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C13" sqref="C13"/>
    </sheetView>
  </sheetViews>
  <sheetFormatPr defaultColWidth="9" defaultRowHeight="30" customHeight="1" outlineLevelCol="4"/>
  <cols>
    <col min="1" max="2" width="9" style="1"/>
    <col min="3" max="4" width="17.1296296296296" style="1" customWidth="1"/>
    <col min="5" max="5" width="12.8796296296296" style="1" customWidth="1"/>
    <col min="6" max="16384" width="9" style="1"/>
  </cols>
  <sheetData>
    <row r="2" customHeight="1" spans="2:5">
      <c r="B2" s="2" t="s">
        <v>34</v>
      </c>
      <c r="C2" s="2" t="s">
        <v>80</v>
      </c>
      <c r="D2" s="2" t="s">
        <v>81</v>
      </c>
      <c r="E2" s="2" t="s">
        <v>82</v>
      </c>
    </row>
    <row r="3" customHeight="1" spans="2:5">
      <c r="B3" s="2" t="s">
        <v>83</v>
      </c>
      <c r="C3" s="3">
        <v>1</v>
      </c>
      <c r="D3" s="2">
        <v>0</v>
      </c>
      <c r="E3" s="2">
        <v>0</v>
      </c>
    </row>
    <row r="4" customHeight="1" spans="2:5">
      <c r="B4" s="2" t="s">
        <v>84</v>
      </c>
      <c r="C4" s="4">
        <v>0.375</v>
      </c>
      <c r="D4" s="4">
        <v>0.375</v>
      </c>
      <c r="E4" s="3">
        <v>0.25</v>
      </c>
    </row>
    <row r="5" customHeight="1" spans="2:5">
      <c r="B5" s="2" t="s">
        <v>85</v>
      </c>
      <c r="C5" s="4">
        <v>0.375</v>
      </c>
      <c r="D5" s="4">
        <v>0.375</v>
      </c>
      <c r="E5" s="3">
        <v>0.25</v>
      </c>
    </row>
    <row r="6" customHeight="1" spans="2:5">
      <c r="B6" s="2" t="s">
        <v>86</v>
      </c>
      <c r="C6" s="4">
        <v>0.375</v>
      </c>
      <c r="D6" s="4">
        <v>0.375</v>
      </c>
      <c r="E6" s="3">
        <v>0.25</v>
      </c>
    </row>
    <row r="7" customHeight="1" spans="2:5">
      <c r="B7" s="2" t="s">
        <v>87</v>
      </c>
      <c r="C7" s="4">
        <v>0.375</v>
      </c>
      <c r="D7" s="4">
        <v>0.375</v>
      </c>
      <c r="E7" s="3">
        <v>0.25</v>
      </c>
    </row>
    <row r="8" customHeight="1" spans="2:5">
      <c r="B8" s="2" t="s">
        <v>88</v>
      </c>
      <c r="C8" s="3">
        <v>0.51</v>
      </c>
      <c r="D8" s="3">
        <v>0.34</v>
      </c>
      <c r="E8" s="3">
        <v>0.15</v>
      </c>
    </row>
    <row r="9" customHeight="1" spans="2:5">
      <c r="B9" s="2" t="s">
        <v>89</v>
      </c>
      <c r="C9" s="3">
        <v>0.51</v>
      </c>
      <c r="D9" s="3">
        <v>0.34</v>
      </c>
      <c r="E9" s="3">
        <v>0.15</v>
      </c>
    </row>
    <row r="10" customHeight="1" spans="2:5">
      <c r="B10" s="2" t="s">
        <v>90</v>
      </c>
      <c r="C10" s="3">
        <v>0.51</v>
      </c>
      <c r="D10" s="3">
        <v>0.34</v>
      </c>
      <c r="E10" s="3">
        <v>0.15</v>
      </c>
    </row>
    <row r="11" customHeight="1" spans="2:5">
      <c r="B11" s="2" t="s">
        <v>37</v>
      </c>
      <c r="C11" s="3">
        <v>0.7</v>
      </c>
      <c r="D11" s="3">
        <v>0.3</v>
      </c>
      <c r="E11" s="3">
        <v>0</v>
      </c>
    </row>
    <row r="12" customHeight="1" spans="2:5">
      <c r="B12" s="2" t="s">
        <v>91</v>
      </c>
      <c r="C12" s="3">
        <v>0.8</v>
      </c>
      <c r="D12" s="3">
        <v>0.2</v>
      </c>
      <c r="E12" s="3">
        <v>0</v>
      </c>
    </row>
    <row r="13" customHeight="1" spans="2:5">
      <c r="B13" s="2" t="s">
        <v>40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WPS_1598868827</cp:lastModifiedBy>
  <dcterms:created xsi:type="dcterms:W3CDTF">2023-05-12T11:15:00Z</dcterms:created>
  <dcterms:modified xsi:type="dcterms:W3CDTF">2026-04-03T10:18:35Z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eadingLayout">
    <vt:bool>true</vt:bool>
  </property>
  <property fmtid="{D5CDD505-2E9C-101B-9397-08002B2CF9AE}" pid="4" name="ICV">
    <vt:lpwstr>25604AC6188A42B4A95AE1FF49B7E65C_13</vt:lpwstr>
  </property>
  <property fmtid="{D5CDD505-2E9C-101B-9397-08002B2CF9AE}" pid="5" name="CalculationRule">
    <vt:i4>0</vt:i4>
  </property>
</Properties>
</file>