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1"/>
  </bookViews>
  <sheets>
    <sheet name="工资汇总表" sheetId="5" r:id="rId1"/>
    <sheet name="工资表" sheetId="1" r:id="rId2"/>
    <sheet name="考勤" sheetId="4" r:id="rId3"/>
    <sheet name="校验" sheetId="6" r:id="rId4"/>
    <sheet name="职务序列取数" sheetId="3" r:id="rId5"/>
  </sheets>
  <definedNames>
    <definedName name="_xlnm._FilterDatabase" localSheetId="2" hidden="1">考勤!$A$5:$AY$11</definedName>
    <definedName name="_xlnm.Print_Area" localSheetId="2">考勤!$A$1:$AZ$29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38333</author>
  </authors>
  <commentList>
    <comment ref="E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手工维护</t>
        </r>
      </text>
    </comment>
    <comment ref="F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月度手工维护
法假按全勤
调休不计入</t>
        </r>
      </text>
    </comment>
    <comment ref="G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
</t>
        </r>
      </text>
    </comment>
    <comment ref="H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I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月工资标准公式核算</t>
        </r>
      </text>
    </comment>
    <comment ref="K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月度或专项绩效考核
奖励正数
扣罚负数</t>
        </r>
      </text>
    </comment>
    <comment ref="L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指特殊考勤如婚丧假、病假等</t>
        </r>
      </text>
    </comment>
    <comment ref="M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特殊类扣款或特殊类补贴，须在备注栏载明详细</t>
        </r>
      </text>
    </comment>
    <comment ref="P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月度基本工资公式算法</t>
        </r>
      </text>
    </comment>
    <comment ref="Q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月度奖金公式计算</t>
        </r>
      </text>
    </comment>
    <comment ref="R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考勤表导入</t>
        </r>
      </text>
    </comment>
    <comment ref="Y3" authorId="0">
      <text>
        <r>
          <rPr>
            <b/>
            <sz val="9"/>
            <rFont val="宋体"/>
            <charset val="134"/>
          </rPr>
          <t>38333:</t>
        </r>
        <r>
          <rPr>
            <sz val="9"/>
            <rFont val="宋体"/>
            <charset val="134"/>
          </rPr>
          <t xml:space="preserve">
财务核算</t>
        </r>
      </text>
    </comment>
  </commentList>
</comments>
</file>

<file path=xl/sharedStrings.xml><?xml version="1.0" encoding="utf-8"?>
<sst xmlns="http://schemas.openxmlformats.org/spreadsheetml/2006/main" count="711" uniqueCount="124">
  <si>
    <t>基本信息</t>
  </si>
  <si>
    <t>其他项核算</t>
  </si>
  <si>
    <t>应发核算</t>
  </si>
  <si>
    <t>社保、公积金及个税</t>
  </si>
  <si>
    <t>实发总额</t>
  </si>
  <si>
    <t>备注</t>
  </si>
  <si>
    <t>单位名称</t>
  </si>
  <si>
    <t>月末人数</t>
  </si>
  <si>
    <t>月工资标准</t>
  </si>
  <si>
    <t>应出勤天数</t>
  </si>
  <si>
    <t>基本薪资</t>
  </si>
  <si>
    <t>绩效奖金</t>
  </si>
  <si>
    <t>年度奖金</t>
  </si>
  <si>
    <t>加班工资</t>
  </si>
  <si>
    <t>绩效考核</t>
  </si>
  <si>
    <t>假期工资</t>
  </si>
  <si>
    <t>其他</t>
  </si>
  <si>
    <t>佣金</t>
  </si>
  <si>
    <t>小计</t>
  </si>
  <si>
    <t>当月日均工资</t>
  </si>
  <si>
    <t>当月日均奖金</t>
  </si>
  <si>
    <t>实际出勤天数</t>
  </si>
  <si>
    <t>应发总额</t>
  </si>
  <si>
    <t>养老金</t>
  </si>
  <si>
    <t>失业金</t>
  </si>
  <si>
    <t>医疗金</t>
  </si>
  <si>
    <t>大额医疗保险</t>
  </si>
  <si>
    <t>公积金</t>
  </si>
  <si>
    <t>税金</t>
  </si>
  <si>
    <t>新疆通力房地产开发有限公司库尔勒二分公司</t>
  </si>
  <si>
    <t>新疆通力房地产开发有限公司库尔勒二分公司2026年4月工资表</t>
  </si>
  <si>
    <t>序号</t>
  </si>
  <si>
    <t>姓名</t>
  </si>
  <si>
    <t>岗位</t>
  </si>
  <si>
    <t>职务序列</t>
  </si>
  <si>
    <t>应出勤
天数</t>
  </si>
  <si>
    <t>李全伟</t>
  </si>
  <si>
    <t>业务支持中心副总经理</t>
  </si>
  <si>
    <t>M1</t>
  </si>
  <si>
    <t>杨文杰</t>
  </si>
  <si>
    <t>工程管理部副经理</t>
  </si>
  <si>
    <t>M2</t>
  </si>
  <si>
    <t>管锡哲</t>
  </si>
  <si>
    <t>工程主管</t>
  </si>
  <si>
    <t>徐惠蓉</t>
  </si>
  <si>
    <t>投资开发部副经理</t>
  </si>
  <si>
    <t>沈陈瑾慧</t>
  </si>
  <si>
    <t>会计</t>
  </si>
  <si>
    <t>PB</t>
  </si>
  <si>
    <t>未打卡一次</t>
  </si>
  <si>
    <t>管丽萍</t>
  </si>
  <si>
    <t>人事运营</t>
  </si>
  <si>
    <t>刘科</t>
  </si>
  <si>
    <t>招采工程师</t>
  </si>
  <si>
    <t>高建梅</t>
  </si>
  <si>
    <t>出纳</t>
  </si>
  <si>
    <t>周佳奇</t>
  </si>
  <si>
    <t>造价工程师</t>
  </si>
  <si>
    <t>白媛媛</t>
  </si>
  <si>
    <t>开发报建工程师</t>
  </si>
  <si>
    <t>温进进</t>
  </si>
  <si>
    <t>土建工程师</t>
  </si>
  <si>
    <t>尹江</t>
  </si>
  <si>
    <t>水暖工程师</t>
  </si>
  <si>
    <t>谢华军</t>
  </si>
  <si>
    <t>招商专员</t>
  </si>
  <si>
    <t>张志慧</t>
  </si>
  <si>
    <t>置业顾问</t>
  </si>
  <si>
    <t>PA</t>
  </si>
  <si>
    <t>王荣</t>
  </si>
  <si>
    <t>霍苒</t>
  </si>
  <si>
    <t>闫金秀</t>
  </si>
  <si>
    <t>赵江龙</t>
  </si>
  <si>
    <t>案场销售经理</t>
  </si>
  <si>
    <t>12月绩效本月需扣除197元；1月需扣除绩效4741元，本月扣除1003元；2月需扣绩效3324元。</t>
  </si>
  <si>
    <t>张新艳</t>
  </si>
  <si>
    <t>李福睛</t>
  </si>
  <si>
    <t>王玉慧</t>
  </si>
  <si>
    <t>合计</t>
  </si>
  <si>
    <t>注：</t>
  </si>
  <si>
    <t>本月中层管理人员预留全额工资15%；徐惠蓉、管丽萍、高建梅其他项为法人补助；管锡哲为多扣除医保个人承担部分；白媛媛其他项为办证费用，30元/户*24户。赵江龙：12月绩效本月需扣除197元；1月需扣除绩效4741元，本月扣除1003元；2月需扣绩效3324元。谢华军其他项为多扣社保个人承担部分金额</t>
  </si>
  <si>
    <t>单位领导：</t>
  </si>
  <si>
    <t>分管领导：</t>
  </si>
  <si>
    <t>审核：</t>
  </si>
  <si>
    <t>制表：</t>
  </si>
  <si>
    <t>月职工考勤表</t>
  </si>
  <si>
    <t>单位:</t>
  </si>
  <si>
    <t>职务工种</t>
  </si>
  <si>
    <t>出   勤  情   况</t>
  </si>
  <si>
    <t>公休节日天数</t>
  </si>
  <si>
    <t>考  勤  天  数</t>
  </si>
  <si>
    <t>员工本人
签字</t>
  </si>
  <si>
    <t>月</t>
  </si>
  <si>
    <t>出勤√</t>
  </si>
  <si>
    <t>出差</t>
  </si>
  <si>
    <t>公休</t>
  </si>
  <si>
    <t>病假</t>
  </si>
  <si>
    <t>事假</t>
  </si>
  <si>
    <t>旷工</t>
  </si>
  <si>
    <t>工伤</t>
  </si>
  <si>
    <t>培训</t>
  </si>
  <si>
    <t>冬休</t>
  </si>
  <si>
    <t>休假</t>
  </si>
  <si>
    <t>探亲</t>
  </si>
  <si>
    <t xml:space="preserve">产假 </t>
  </si>
  <si>
    <t>陪护假</t>
  </si>
  <si>
    <t>婚丧假</t>
  </si>
  <si>
    <t>待岗</t>
  </si>
  <si>
    <t>√</t>
  </si>
  <si>
    <t>月度应发</t>
  </si>
  <si>
    <t>差额</t>
  </si>
  <si>
    <t>扣款</t>
  </si>
  <si>
    <t>补贴</t>
  </si>
  <si>
    <t>办证费</t>
  </si>
  <si>
    <t>月度基本工资比例</t>
  </si>
  <si>
    <t>月度绩效奖金比例</t>
  </si>
  <si>
    <t>年度奖金比例</t>
  </si>
  <si>
    <t>A1</t>
  </si>
  <si>
    <t>A2</t>
  </si>
  <si>
    <t>A3</t>
  </si>
  <si>
    <t>A4</t>
  </si>
  <si>
    <t>A5</t>
  </si>
  <si>
    <t>M3</t>
  </si>
  <si>
    <t>PM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</si>
</sst>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39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8"/>
      <name val="黑体"/>
      <charset val="134"/>
    </font>
    <font>
      <sz val="12"/>
      <name val="仿宋_GB2312"/>
      <charset val="134"/>
    </font>
    <font>
      <b/>
      <sz val="12"/>
      <name val="仿宋_GB2312"/>
      <charset val="134"/>
    </font>
    <font>
      <sz val="10"/>
      <name val="仿宋_GB2312"/>
      <charset val="134"/>
    </font>
    <font>
      <sz val="9"/>
      <name val="仿宋_GB2312"/>
      <charset val="134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b/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6" tint="0.8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4" borderId="12" applyNumberFormat="0" applyFon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5" borderId="15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6" borderId="15" applyNumberFormat="0" applyAlignment="0" applyProtection="0">
      <alignment vertical="center"/>
    </xf>
    <xf numFmtId="0" fontId="29" fillId="7" borderId="17" applyNumberFormat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2" fillId="8" borderId="0" applyNumberFormat="0" applyBorder="0" applyAlignment="0" applyProtection="0">
      <alignment vertical="center"/>
    </xf>
    <xf numFmtId="0" fontId="33" fillId="9" borderId="0" applyNumberFormat="0" applyBorder="0" applyAlignment="0" applyProtection="0">
      <alignment vertical="center"/>
    </xf>
    <xf numFmtId="0" fontId="34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6" fillId="33" borderId="0" applyNumberFormat="0" applyBorder="0" applyAlignment="0" applyProtection="0">
      <alignment vertical="center"/>
    </xf>
    <xf numFmtId="0" fontId="35" fillId="34" borderId="0" applyNumberFormat="0" applyBorder="0" applyAlignment="0" applyProtection="0">
      <alignment vertical="center"/>
    </xf>
    <xf numFmtId="0" fontId="1" fillId="0" borderId="0"/>
    <xf numFmtId="0" fontId="1" fillId="0" borderId="0"/>
    <xf numFmtId="0" fontId="0" fillId="0" borderId="0">
      <alignment vertical="center"/>
    </xf>
    <xf numFmtId="0" fontId="0" fillId="0" borderId="0">
      <alignment vertical="center"/>
    </xf>
    <xf numFmtId="0" fontId="1" fillId="0" borderId="0"/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9" fontId="0" fillId="0" borderId="1" xfId="0" applyNumberForma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3" fontId="0" fillId="0" borderId="0" xfId="0" applyNumberFormat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0" fontId="3" fillId="0" borderId="0" xfId="50" applyFont="1" applyFill="1" applyAlignment="1">
      <alignment horizontal="right" vertical="center" wrapText="1"/>
    </xf>
    <xf numFmtId="0" fontId="3" fillId="0" borderId="0" xfId="50" applyFont="1" applyFill="1" applyAlignment="1">
      <alignment horizontal="center" vertical="center" wrapText="1"/>
    </xf>
    <xf numFmtId="0" fontId="3" fillId="0" borderId="0" xfId="50" applyFont="1" applyFill="1" applyAlignment="1">
      <alignment horizontal="left" vertical="center" wrapText="1"/>
    </xf>
    <xf numFmtId="0" fontId="4" fillId="0" borderId="2" xfId="50" applyFont="1" applyFill="1" applyBorder="1" applyAlignment="1">
      <alignment horizontal="left" vertical="center"/>
    </xf>
    <xf numFmtId="0" fontId="4" fillId="0" borderId="2" xfId="50" applyFont="1" applyFill="1" applyBorder="1" applyAlignment="1">
      <alignment horizontal="center" vertical="center"/>
    </xf>
    <xf numFmtId="0" fontId="4" fillId="0" borderId="2" xfId="5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 wrapText="1"/>
    </xf>
    <xf numFmtId="0" fontId="4" fillId="0" borderId="0" xfId="50" applyFont="1" applyFill="1" applyBorder="1" applyAlignment="1">
      <alignment horizontal="center" vertical="center" wrapText="1"/>
    </xf>
    <xf numFmtId="31" fontId="1" fillId="0" borderId="2" xfId="0" applyNumberFormat="1" applyFont="1" applyFill="1" applyBorder="1" applyAlignment="1">
      <alignment horizontal="center" vertical="center" wrapText="1"/>
    </xf>
    <xf numFmtId="0" fontId="6" fillId="2" borderId="3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center" vertical="center" wrapText="1"/>
    </xf>
    <xf numFmtId="0" fontId="6" fillId="2" borderId="5" xfId="50" applyFont="1" applyFill="1" applyBorder="1" applyAlignment="1">
      <alignment horizontal="center" vertical="center" wrapText="1"/>
    </xf>
    <xf numFmtId="0" fontId="6" fillId="2" borderId="6" xfId="50" applyFont="1" applyFill="1" applyBorder="1" applyAlignment="1">
      <alignment horizontal="center" vertical="center" wrapText="1"/>
    </xf>
    <xf numFmtId="0" fontId="4" fillId="2" borderId="7" xfId="50" applyFont="1" applyFill="1" applyBorder="1" applyAlignment="1">
      <alignment horizontal="center" vertical="center" wrapText="1"/>
    </xf>
    <xf numFmtId="0" fontId="4" fillId="2" borderId="8" xfId="50" applyFont="1" applyFill="1" applyBorder="1" applyAlignment="1">
      <alignment horizontal="center" vertical="center" wrapText="1"/>
    </xf>
    <xf numFmtId="0" fontId="6" fillId="2" borderId="9" xfId="50" applyFont="1" applyFill="1" applyBorder="1" applyAlignment="1">
      <alignment horizontal="center" vertical="center" wrapText="1"/>
    </xf>
    <xf numFmtId="0" fontId="6" fillId="2" borderId="4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right" vertical="center" wrapText="1"/>
    </xf>
    <xf numFmtId="0" fontId="6" fillId="2" borderId="5" xfId="50" applyFont="1" applyFill="1" applyBorder="1" applyAlignment="1">
      <alignment horizontal="left" vertical="center" wrapText="1"/>
    </xf>
    <xf numFmtId="0" fontId="6" fillId="2" borderId="6" xfId="50" applyFont="1" applyFill="1" applyBorder="1" applyAlignment="1">
      <alignment horizontal="left" vertical="center" wrapText="1"/>
    </xf>
    <xf numFmtId="0" fontId="4" fillId="2" borderId="10" xfId="50" applyFont="1" applyFill="1" applyBorder="1" applyAlignment="1">
      <alignment horizontal="center" vertical="center" wrapText="1"/>
    </xf>
    <xf numFmtId="0" fontId="4" fillId="2" borderId="2" xfId="50" applyFont="1" applyFill="1" applyBorder="1" applyAlignment="1">
      <alignment horizontal="center" vertical="center" wrapText="1"/>
    </xf>
    <xf numFmtId="0" fontId="6" fillId="2" borderId="11" xfId="50" applyFont="1" applyFill="1" applyBorder="1" applyAlignment="1">
      <alignment horizontal="center" vertical="center" wrapText="1"/>
    </xf>
    <xf numFmtId="0" fontId="6" fillId="2" borderId="1" xfId="50" applyFont="1" applyFill="1" applyBorder="1" applyAlignment="1">
      <alignment horizontal="center" vertical="center" wrapText="1" shrinkToFit="1"/>
    </xf>
    <xf numFmtId="0" fontId="6" fillId="2" borderId="1" xfId="50" applyFont="1" applyFill="1" applyBorder="1" applyAlignment="1">
      <alignment horizontal="center" vertical="center" wrapText="1"/>
    </xf>
    <xf numFmtId="0" fontId="7" fillId="2" borderId="1" xfId="5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8" fillId="0" borderId="1" xfId="5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shrinkToFit="1"/>
    </xf>
    <xf numFmtId="0" fontId="9" fillId="0" borderId="1" xfId="52" applyFont="1" applyFill="1" applyBorder="1" applyAlignment="1">
      <alignment horizontal="center" vertical="center" wrapText="1"/>
    </xf>
    <xf numFmtId="0" fontId="10" fillId="0" borderId="1" xfId="53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8" fillId="0" borderId="0" xfId="5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shrinkToFit="1"/>
    </xf>
    <xf numFmtId="0" fontId="9" fillId="0" borderId="0" xfId="52" applyFont="1" applyFill="1" applyBorder="1" applyAlignment="1">
      <alignment horizontal="center" vertical="center" wrapText="1"/>
    </xf>
    <xf numFmtId="0" fontId="10" fillId="0" borderId="0" xfId="53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51" applyFont="1" applyFill="1" applyBorder="1" applyAlignment="1">
      <alignment horizontal="center" vertical="center"/>
    </xf>
    <xf numFmtId="0" fontId="6" fillId="0" borderId="0" xfId="50" applyFont="1" applyFill="1" applyBorder="1" applyAlignment="1">
      <alignment horizontal="left" vertical="center"/>
    </xf>
    <xf numFmtId="0" fontId="8" fillId="0" borderId="0" xfId="52" applyFont="1" applyFill="1" applyBorder="1" applyAlignment="1">
      <alignment horizontal="center" vertical="center"/>
    </xf>
    <xf numFmtId="0" fontId="10" fillId="0" borderId="0" xfId="5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3" fillId="0" borderId="0" xfId="0" applyFont="1" applyAlignment="1">
      <alignment horizontal="center" vertical="center"/>
    </xf>
    <xf numFmtId="176" fontId="13" fillId="0" borderId="0" xfId="0" applyNumberFormat="1" applyFont="1" applyAlignment="1">
      <alignment horizontal="center" vertical="center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176" fontId="14" fillId="2" borderId="1" xfId="0" applyNumberFormat="1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176" fontId="14" fillId="2" borderId="5" xfId="0" applyNumberFormat="1" applyFont="1" applyFill="1" applyBorder="1" applyAlignment="1">
      <alignment horizontal="center" vertical="center"/>
    </xf>
    <xf numFmtId="0" fontId="14" fillId="2" borderId="5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4" fillId="2" borderId="11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 wrapText="1"/>
    </xf>
    <xf numFmtId="176" fontId="14" fillId="2" borderId="1" xfId="0" applyNumberFormat="1" applyFont="1" applyFill="1" applyBorder="1" applyAlignment="1">
      <alignment horizontal="center" vertical="center" wrapText="1"/>
    </xf>
    <xf numFmtId="177" fontId="14" fillId="2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7" fontId="15" fillId="0" borderId="1" xfId="0" applyNumberFormat="1" applyFont="1" applyBorder="1" applyAlignment="1">
      <alignment horizontal="center" vertical="center"/>
    </xf>
    <xf numFmtId="177" fontId="15" fillId="2" borderId="1" xfId="0" applyNumberFormat="1" applyFont="1" applyFill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7" fontId="15" fillId="0" borderId="1" xfId="0" applyNumberFormat="1" applyFont="1" applyFill="1" applyBorder="1" applyAlignment="1">
      <alignment vertical="center" shrinkToFit="1"/>
    </xf>
    <xf numFmtId="177" fontId="15" fillId="3" borderId="1" xfId="0" applyNumberFormat="1" applyFont="1" applyFill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5" fillId="0" borderId="6" xfId="0" applyFont="1" applyBorder="1" applyAlignment="1">
      <alignment horizontal="left" vertical="center" wrapText="1"/>
    </xf>
    <xf numFmtId="43" fontId="14" fillId="2" borderId="1" xfId="0" applyNumberFormat="1" applyFont="1" applyFill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7" fillId="0" borderId="0" xfId="0" applyFont="1" applyFill="1" applyAlignment="1">
      <alignment horizontal="left" vertical="center" wrapText="1" shrinkToFit="1"/>
    </xf>
    <xf numFmtId="0" fontId="17" fillId="0" borderId="0" xfId="0" applyFont="1" applyFill="1" applyAlignment="1">
      <alignment vertical="center" wrapText="1" shrinkToFit="1"/>
    </xf>
    <xf numFmtId="176" fontId="12" fillId="0" borderId="0" xfId="0" applyNumberFormat="1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2" borderId="1" xfId="50" applyFont="1" applyFill="1" applyBorder="1" applyAlignment="1" quotePrefix="1">
      <alignment horizontal="center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_Sheet1" xfId="50"/>
    <cellStyle name="常规 11" xfId="51"/>
    <cellStyle name="常规 14 8" xfId="52"/>
    <cellStyle name="常规_Sheet1_1" xfId="5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Z10"/>
  <sheetViews>
    <sheetView zoomScale="60" zoomScaleNormal="60" workbookViewId="0">
      <selection activeCell="B4" sqref="B4"/>
    </sheetView>
  </sheetViews>
  <sheetFormatPr defaultColWidth="9" defaultRowHeight="13.5"/>
  <cols>
    <col min="1" max="1" width="49.625" style="1" customWidth="1"/>
    <col min="2" max="2" width="9" style="1"/>
    <col min="3" max="3" width="13.25" style="1" customWidth="1"/>
    <col min="4" max="4" width="11.5083333333333" style="1" customWidth="1"/>
    <col min="5" max="5" width="13.25" style="1" customWidth="1"/>
    <col min="6" max="6" width="12.5083333333333" style="1" customWidth="1"/>
    <col min="7" max="7" width="11.625" style="1" customWidth="1"/>
    <col min="8" max="8" width="9" style="1"/>
    <col min="9" max="9" width="10.55" style="1" customWidth="1"/>
    <col min="10" max="10" width="9" style="1"/>
    <col min="11" max="12" width="11.25" style="1" customWidth="1"/>
    <col min="13" max="13" width="10.375" style="1"/>
    <col min="14" max="16" width="13.75" style="1" customWidth="1"/>
    <col min="17" max="17" width="13.25" style="1" customWidth="1"/>
    <col min="18" max="18" width="10.375" style="1" customWidth="1"/>
    <col min="19" max="19" width="9" style="1"/>
    <col min="20" max="20" width="10.625" style="1" customWidth="1"/>
    <col min="21" max="22" width="13.75" style="1" customWidth="1"/>
    <col min="23" max="23" width="11.5083333333333" style="1" customWidth="1"/>
    <col min="24" max="24" width="12" style="1" customWidth="1"/>
    <col min="25" max="25" width="13" style="1" customWidth="1"/>
    <col min="26" max="16384" width="9" style="1"/>
  </cols>
  <sheetData>
    <row r="2" s="55" customFormat="1" ht="50" customHeight="1" spans="1:26">
      <c r="A2" s="86" t="s">
        <v>0</v>
      </c>
      <c r="B2" s="86"/>
      <c r="C2" s="86"/>
      <c r="D2" s="86"/>
      <c r="E2" s="86"/>
      <c r="F2" s="86"/>
      <c r="G2" s="86"/>
      <c r="H2" s="86" t="s">
        <v>1</v>
      </c>
      <c r="I2" s="86"/>
      <c r="J2" s="86"/>
      <c r="K2" s="86"/>
      <c r="L2" s="86"/>
      <c r="M2" s="86"/>
      <c r="N2" s="86" t="s">
        <v>2</v>
      </c>
      <c r="O2" s="86"/>
      <c r="P2" s="86"/>
      <c r="Q2" s="86"/>
      <c r="R2" s="86" t="s">
        <v>3</v>
      </c>
      <c r="S2" s="86"/>
      <c r="T2" s="86"/>
      <c r="U2" s="86"/>
      <c r="V2" s="86"/>
      <c r="W2" s="86"/>
      <c r="X2" s="86"/>
      <c r="Y2" s="86" t="s">
        <v>4</v>
      </c>
      <c r="Z2" s="86" t="s">
        <v>5</v>
      </c>
    </row>
    <row r="3" s="55" customFormat="1" ht="50" customHeight="1" spans="1:26">
      <c r="A3" s="86" t="s">
        <v>6</v>
      </c>
      <c r="B3" s="86" t="s">
        <v>7</v>
      </c>
      <c r="C3" s="86" t="s">
        <v>8</v>
      </c>
      <c r="D3" s="86" t="s">
        <v>9</v>
      </c>
      <c r="E3" s="86" t="s">
        <v>10</v>
      </c>
      <c r="F3" s="86" t="s">
        <v>11</v>
      </c>
      <c r="G3" s="86" t="s">
        <v>12</v>
      </c>
      <c r="H3" s="86" t="s">
        <v>13</v>
      </c>
      <c r="I3" s="86" t="s">
        <v>14</v>
      </c>
      <c r="J3" s="86" t="s">
        <v>15</v>
      </c>
      <c r="K3" s="86" t="s">
        <v>16</v>
      </c>
      <c r="L3" s="86" t="s">
        <v>17</v>
      </c>
      <c r="M3" s="86" t="s">
        <v>18</v>
      </c>
      <c r="N3" s="86" t="s">
        <v>19</v>
      </c>
      <c r="O3" s="86" t="s">
        <v>20</v>
      </c>
      <c r="P3" s="86" t="s">
        <v>21</v>
      </c>
      <c r="Q3" s="86" t="s">
        <v>22</v>
      </c>
      <c r="R3" s="86" t="s">
        <v>23</v>
      </c>
      <c r="S3" s="86" t="s">
        <v>24</v>
      </c>
      <c r="T3" s="86" t="s">
        <v>25</v>
      </c>
      <c r="U3" s="86" t="s">
        <v>26</v>
      </c>
      <c r="V3" s="86" t="s">
        <v>27</v>
      </c>
      <c r="W3" s="86" t="s">
        <v>28</v>
      </c>
      <c r="X3" s="86" t="s">
        <v>18</v>
      </c>
      <c r="Y3" s="86"/>
      <c r="Z3" s="86"/>
    </row>
    <row r="4" s="54" customFormat="1" ht="50" customHeight="1" spans="1:26">
      <c r="A4" s="2" t="s">
        <v>29</v>
      </c>
      <c r="B4" s="2">
        <f>工资表!A24</f>
        <v>21</v>
      </c>
      <c r="C4" s="87">
        <f>工资表!E25</f>
        <v>159800</v>
      </c>
      <c r="D4" s="87"/>
      <c r="E4" s="87">
        <f>工资表!G25</f>
        <v>99920</v>
      </c>
      <c r="F4" s="87">
        <f>工资表!H25</f>
        <v>45680</v>
      </c>
      <c r="G4" s="87">
        <f>工资表!I25</f>
        <v>10200</v>
      </c>
      <c r="H4" s="87">
        <f>工资表!J25</f>
        <v>0</v>
      </c>
      <c r="I4" s="87">
        <f>工资表!K25</f>
        <v>-14236</v>
      </c>
      <c r="J4" s="87"/>
      <c r="K4" s="87">
        <f>工资表!M25</f>
        <v>2871.46</v>
      </c>
      <c r="L4" s="87">
        <f>工资表!N25</f>
        <v>49037.42</v>
      </c>
      <c r="M4" s="87">
        <f>工资表!O25</f>
        <v>37672.88</v>
      </c>
      <c r="N4" s="87">
        <f>工资表!P25</f>
        <v>0</v>
      </c>
      <c r="O4" s="87">
        <f>工资表!Q25</f>
        <v>0</v>
      </c>
      <c r="P4" s="87"/>
      <c r="Q4" s="87">
        <f>工资表!S25</f>
        <v>183272.88</v>
      </c>
      <c r="R4" s="87">
        <f>工资表!T25</f>
        <v>7704.88</v>
      </c>
      <c r="S4" s="87">
        <f>工资表!U25</f>
        <v>481.65</v>
      </c>
      <c r="T4" s="87">
        <f>工资表!V25</f>
        <v>2037.76</v>
      </c>
      <c r="U4" s="87">
        <f>工资表!W25</f>
        <v>405.51</v>
      </c>
      <c r="V4" s="87">
        <f>工资表!X25</f>
        <v>4950</v>
      </c>
      <c r="W4" s="87">
        <f>工资表!Y25</f>
        <v>2497.71</v>
      </c>
      <c r="X4" s="87">
        <f>工资表!Z25</f>
        <v>17274.14</v>
      </c>
      <c r="Y4" s="87">
        <f>工资表!AA25</f>
        <v>165998.74</v>
      </c>
      <c r="Z4" s="2"/>
    </row>
    <row r="5" ht="50" customHeight="1"/>
    <row r="6" ht="50" customHeight="1"/>
    <row r="7" ht="50" customHeight="1"/>
    <row r="8" ht="50" customHeight="1"/>
    <row r="9" ht="50" customHeight="1"/>
    <row r="10" ht="50" customHeight="1"/>
  </sheetData>
  <mergeCells count="6">
    <mergeCell ref="A2:G2"/>
    <mergeCell ref="H2:M2"/>
    <mergeCell ref="N2:Q2"/>
    <mergeCell ref="R2:X2"/>
    <mergeCell ref="Y2:Y3"/>
    <mergeCell ref="Z2:Z3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H28"/>
  <sheetViews>
    <sheetView showZeros="0" tabSelected="1" zoomScale="40" zoomScaleNormal="40" workbookViewId="0">
      <pane xSplit="3" topLeftCell="D1" activePane="topRight" state="frozen"/>
      <selection/>
      <selection pane="topRight" activeCell="Y9" sqref="Y9"/>
    </sheetView>
  </sheetViews>
  <sheetFormatPr defaultColWidth="9" defaultRowHeight="20" customHeight="1"/>
  <cols>
    <col min="1" max="1" width="6" style="1" customWidth="1"/>
    <col min="2" max="2" width="16.25" style="1" customWidth="1"/>
    <col min="3" max="3" width="24.0583333333333" style="1" customWidth="1"/>
    <col min="4" max="4" width="11.5583333333333" style="1" customWidth="1"/>
    <col min="5" max="5" width="19.5833333333333" style="57" customWidth="1"/>
    <col min="6" max="6" width="11.25" style="57" customWidth="1"/>
    <col min="7" max="7" width="20.9333333333333" style="57" customWidth="1"/>
    <col min="8" max="8" width="17.9166666666667" style="57" customWidth="1"/>
    <col min="9" max="9" width="17.1833333333333" style="57" customWidth="1"/>
    <col min="10" max="10" width="16.4583333333333" style="1" customWidth="1"/>
    <col min="11" max="11" width="18.75" style="57" customWidth="1"/>
    <col min="12" max="14" width="18.75" style="1" customWidth="1"/>
    <col min="15" max="15" width="19.0666666666667" style="1" customWidth="1"/>
    <col min="16" max="16" width="21.4583333333333" style="1" customWidth="1"/>
    <col min="17" max="17" width="21.6666666666667" style="1" customWidth="1"/>
    <col min="18" max="18" width="14.5833333333333" style="1" customWidth="1"/>
    <col min="19" max="19" width="25.25" style="1" customWidth="1"/>
    <col min="20" max="20" width="16.25" style="1" customWidth="1"/>
    <col min="21" max="21" width="17.7083333333333" style="1" customWidth="1"/>
    <col min="22" max="22" width="20" style="1" customWidth="1"/>
    <col min="23" max="24" width="21.05" style="1" customWidth="1"/>
    <col min="25" max="25" width="19.6833333333333" style="1" customWidth="1"/>
    <col min="26" max="26" width="21.8583333333333" style="1" customWidth="1"/>
    <col min="27" max="27" width="22.1833333333333" style="1" customWidth="1"/>
    <col min="28" max="28" width="37.8083333333333" style="1" customWidth="1"/>
    <col min="29" max="29" width="18.125" style="1" customWidth="1"/>
    <col min="30" max="16384" width="9" style="1"/>
  </cols>
  <sheetData>
    <row r="1" s="54" customFormat="1" ht="46" customHeight="1" spans="1:28">
      <c r="A1" s="58" t="s">
        <v>30</v>
      </c>
      <c r="B1" s="58"/>
      <c r="C1" s="58"/>
      <c r="D1" s="58"/>
      <c r="E1" s="59"/>
      <c r="F1" s="59"/>
      <c r="G1" s="59"/>
      <c r="H1" s="59"/>
      <c r="I1" s="59"/>
      <c r="J1" s="58"/>
      <c r="K1" s="59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58"/>
      <c r="X1" s="58"/>
      <c r="Y1" s="58"/>
      <c r="Z1" s="58"/>
      <c r="AA1" s="58"/>
      <c r="AB1" s="58"/>
    </row>
    <row r="2" s="55" customFormat="1" ht="55" customHeight="1" spans="1:28">
      <c r="A2" s="60" t="s">
        <v>31</v>
      </c>
      <c r="B2" s="61" t="s">
        <v>0</v>
      </c>
      <c r="C2" s="61"/>
      <c r="D2" s="61"/>
      <c r="E2" s="62"/>
      <c r="F2" s="62"/>
      <c r="G2" s="62"/>
      <c r="H2" s="62"/>
      <c r="I2" s="62"/>
      <c r="J2" s="63" t="s">
        <v>1</v>
      </c>
      <c r="K2" s="64"/>
      <c r="L2" s="65"/>
      <c r="M2" s="65"/>
      <c r="N2" s="65"/>
      <c r="O2" s="66"/>
      <c r="P2" s="63" t="s">
        <v>2</v>
      </c>
      <c r="Q2" s="65"/>
      <c r="R2" s="65"/>
      <c r="S2" s="66"/>
      <c r="T2" s="63" t="s">
        <v>3</v>
      </c>
      <c r="U2" s="65"/>
      <c r="V2" s="65"/>
      <c r="W2" s="65"/>
      <c r="X2" s="65"/>
      <c r="Y2" s="65"/>
      <c r="Z2" s="66"/>
      <c r="AA2" s="61" t="s">
        <v>4</v>
      </c>
      <c r="AB2" s="61" t="s">
        <v>5</v>
      </c>
    </row>
    <row r="3" s="55" customFormat="1" ht="55" customHeight="1" spans="1:28">
      <c r="A3" s="67"/>
      <c r="B3" s="61" t="s">
        <v>32</v>
      </c>
      <c r="C3" s="61" t="s">
        <v>33</v>
      </c>
      <c r="D3" s="68" t="s">
        <v>34</v>
      </c>
      <c r="E3" s="69" t="s">
        <v>8</v>
      </c>
      <c r="F3" s="69" t="s">
        <v>35</v>
      </c>
      <c r="G3" s="69" t="s">
        <v>10</v>
      </c>
      <c r="H3" s="69" t="s">
        <v>11</v>
      </c>
      <c r="I3" s="69" t="s">
        <v>12</v>
      </c>
      <c r="J3" s="68" t="s">
        <v>13</v>
      </c>
      <c r="K3" s="69" t="s">
        <v>14</v>
      </c>
      <c r="L3" s="68" t="s">
        <v>15</v>
      </c>
      <c r="M3" s="61" t="s">
        <v>16</v>
      </c>
      <c r="N3" s="61" t="s">
        <v>17</v>
      </c>
      <c r="O3" s="61" t="s">
        <v>18</v>
      </c>
      <c r="P3" s="68" t="s">
        <v>19</v>
      </c>
      <c r="Q3" s="68" t="s">
        <v>20</v>
      </c>
      <c r="R3" s="68" t="s">
        <v>21</v>
      </c>
      <c r="S3" s="70" t="s">
        <v>22</v>
      </c>
      <c r="T3" s="61" t="s">
        <v>23</v>
      </c>
      <c r="U3" s="61" t="s">
        <v>24</v>
      </c>
      <c r="V3" s="61" t="s">
        <v>25</v>
      </c>
      <c r="W3" s="68" t="s">
        <v>26</v>
      </c>
      <c r="X3" s="68" t="s">
        <v>27</v>
      </c>
      <c r="Y3" s="61" t="s">
        <v>28</v>
      </c>
      <c r="Z3" s="61" t="s">
        <v>18</v>
      </c>
      <c r="AA3" s="61"/>
      <c r="AB3" s="61"/>
    </row>
    <row r="4" s="54" customFormat="1" ht="50" customHeight="1" spans="1:28">
      <c r="A4" s="71">
        <v>1</v>
      </c>
      <c r="B4" s="71" t="s">
        <v>36</v>
      </c>
      <c r="C4" s="71" t="s">
        <v>37</v>
      </c>
      <c r="D4" s="71" t="s">
        <v>38</v>
      </c>
      <c r="E4" s="72">
        <v>30000</v>
      </c>
      <c r="F4" s="72">
        <v>21</v>
      </c>
      <c r="G4" s="72">
        <f>E4*VLOOKUP(D4,职务序列取数!B:E,2,0)</f>
        <v>15300</v>
      </c>
      <c r="H4" s="72">
        <f>E4*VLOOKUP(D4,职务序列取数!B:E,3,0)</f>
        <v>10200</v>
      </c>
      <c r="I4" s="72">
        <f>E4*VLOOKUP(D4,职务序列取数!B:E,4,0)</f>
        <v>4500</v>
      </c>
      <c r="J4" s="73"/>
      <c r="K4" s="72">
        <v>-9736</v>
      </c>
      <c r="L4" s="73"/>
      <c r="M4" s="73"/>
      <c r="N4" s="73"/>
      <c r="O4" s="74">
        <f>SUM(J4:N4)</f>
        <v>-9736</v>
      </c>
      <c r="P4" s="73">
        <f t="shared" ref="P4:P22" si="0">G4/F4</f>
        <v>728.571428571429</v>
      </c>
      <c r="Q4" s="73">
        <f t="shared" ref="Q4:Q22" si="1">H4/F4</f>
        <v>485.714285714286</v>
      </c>
      <c r="R4" s="75">
        <f>VLOOKUP(B4,考勤!B:AI,34,0)</f>
        <v>21</v>
      </c>
      <c r="S4" s="70">
        <f t="shared" ref="S4:S29" si="2">(P4*R4)+(Q4*R4)+O4</f>
        <v>15764</v>
      </c>
      <c r="T4" s="76">
        <f>405.52</f>
        <v>405.52</v>
      </c>
      <c r="U4" s="76">
        <v>25.35</v>
      </c>
      <c r="V4" s="76">
        <f>101.38</f>
        <v>101.38</v>
      </c>
      <c r="W4" s="76">
        <v>21.12</v>
      </c>
      <c r="X4" s="76">
        <v>350</v>
      </c>
      <c r="Y4" s="77"/>
      <c r="Z4" s="74">
        <f>SUM(T4:Y4)</f>
        <v>903.37</v>
      </c>
      <c r="AA4" s="70">
        <f t="shared" ref="AA4:AA29" si="3">S4-Z4</f>
        <v>14860.63</v>
      </c>
      <c r="AB4" s="71"/>
    </row>
    <row r="5" s="54" customFormat="1" ht="50" customHeight="1" spans="1:28">
      <c r="A5" s="71">
        <v>2</v>
      </c>
      <c r="B5" s="71" t="s">
        <v>39</v>
      </c>
      <c r="C5" s="71" t="s">
        <v>40</v>
      </c>
      <c r="D5" s="71" t="s">
        <v>41</v>
      </c>
      <c r="E5" s="72">
        <v>20000</v>
      </c>
      <c r="F5" s="72">
        <v>21</v>
      </c>
      <c r="G5" s="72">
        <f>E5*VLOOKUP(D5,职务序列取数!B:E,2,0)</f>
        <v>10200</v>
      </c>
      <c r="H5" s="72">
        <f>E5*VLOOKUP(D5,职务序列取数!B:E,3,0)</f>
        <v>6800</v>
      </c>
      <c r="I5" s="72">
        <f>E5*VLOOKUP(D5,职务序列取数!B:E,4,0)</f>
        <v>3000</v>
      </c>
      <c r="J5" s="73"/>
      <c r="K5" s="72"/>
      <c r="L5" s="73"/>
      <c r="M5" s="73"/>
      <c r="N5" s="73"/>
      <c r="O5" s="74">
        <f>SUM(J5:N5)</f>
        <v>0</v>
      </c>
      <c r="P5" s="73">
        <f t="shared" si="0"/>
        <v>485.714285714286</v>
      </c>
      <c r="Q5" s="73">
        <f t="shared" si="1"/>
        <v>323.809523809524</v>
      </c>
      <c r="R5" s="75">
        <f>VLOOKUP(B5,考勤!B:AI,34,0)</f>
        <v>21</v>
      </c>
      <c r="S5" s="70">
        <f t="shared" si="2"/>
        <v>17000</v>
      </c>
      <c r="T5" s="76">
        <f>405.52</f>
        <v>405.52</v>
      </c>
      <c r="U5" s="76">
        <v>25.35</v>
      </c>
      <c r="V5" s="76">
        <v>101.38</v>
      </c>
      <c r="W5" s="76">
        <v>21.12</v>
      </c>
      <c r="X5" s="76">
        <f>350</f>
        <v>350</v>
      </c>
      <c r="Y5" s="77">
        <v>1109.66</v>
      </c>
      <c r="Z5" s="74">
        <f>SUM(T5:Y5)</f>
        <v>2013.03</v>
      </c>
      <c r="AA5" s="70">
        <f t="shared" si="3"/>
        <v>14986.97</v>
      </c>
      <c r="AB5" s="71"/>
    </row>
    <row r="6" s="54" customFormat="1" ht="50" customHeight="1" spans="1:28">
      <c r="A6" s="71">
        <v>3</v>
      </c>
      <c r="B6" s="71" t="s">
        <v>42</v>
      </c>
      <c r="C6" s="71" t="s">
        <v>43</v>
      </c>
      <c r="D6" s="71"/>
      <c r="E6" s="72"/>
      <c r="F6" s="72"/>
      <c r="G6" s="72"/>
      <c r="H6" s="72"/>
      <c r="I6" s="72"/>
      <c r="J6" s="73"/>
      <c r="K6" s="72"/>
      <c r="L6" s="73"/>
      <c r="M6" s="73"/>
      <c r="N6" s="73"/>
      <c r="O6" s="74">
        <f t="shared" ref="O6:O24" si="4">SUM(J6:N6)</f>
        <v>0</v>
      </c>
      <c r="P6" s="73"/>
      <c r="Q6" s="73"/>
      <c r="R6" s="75">
        <f>VLOOKUP(B6,考勤!B:AI,34,0)</f>
        <v>0</v>
      </c>
      <c r="S6" s="70">
        <f t="shared" si="2"/>
        <v>0</v>
      </c>
      <c r="T6" s="76"/>
      <c r="U6" s="76"/>
      <c r="V6" s="76">
        <v>-253.46</v>
      </c>
      <c r="W6" s="76"/>
      <c r="X6" s="76"/>
      <c r="Y6" s="77"/>
      <c r="Z6" s="74">
        <f>SUM(T6:Y6)</f>
        <v>-253.46</v>
      </c>
      <c r="AA6" s="70">
        <f t="shared" si="3"/>
        <v>253.46</v>
      </c>
      <c r="AB6" s="71"/>
    </row>
    <row r="7" s="54" customFormat="1" ht="50" customHeight="1" spans="1:28">
      <c r="A7" s="71">
        <v>4</v>
      </c>
      <c r="B7" s="71" t="s">
        <v>44</v>
      </c>
      <c r="C7" s="71" t="s">
        <v>45</v>
      </c>
      <c r="D7" s="71" t="s">
        <v>41</v>
      </c>
      <c r="E7" s="72">
        <v>18000</v>
      </c>
      <c r="F7" s="72">
        <v>21</v>
      </c>
      <c r="G7" s="72">
        <f>E7*VLOOKUP(D7,职务序列取数!B:E,2,0)</f>
        <v>9180</v>
      </c>
      <c r="H7" s="72">
        <f>E7*VLOOKUP(D7,职务序列取数!B:E,3,0)</f>
        <v>6120</v>
      </c>
      <c r="I7" s="72">
        <f>E7*VLOOKUP(D7,职务序列取数!B:E,4,0)</f>
        <v>2700</v>
      </c>
      <c r="J7" s="73"/>
      <c r="K7" s="72"/>
      <c r="L7" s="73"/>
      <c r="M7" s="73">
        <f>300</f>
        <v>300</v>
      </c>
      <c r="N7" s="73"/>
      <c r="O7" s="74">
        <f t="shared" si="4"/>
        <v>300</v>
      </c>
      <c r="P7" s="73">
        <f t="shared" si="0"/>
        <v>437.142857142857</v>
      </c>
      <c r="Q7" s="73">
        <f t="shared" si="1"/>
        <v>291.428571428571</v>
      </c>
      <c r="R7" s="75">
        <f>VLOOKUP(B7,考勤!B:AI,34,0)</f>
        <v>21</v>
      </c>
      <c r="S7" s="70">
        <f t="shared" si="2"/>
        <v>15600</v>
      </c>
      <c r="T7" s="76"/>
      <c r="U7" s="76"/>
      <c r="V7" s="76"/>
      <c r="W7" s="76"/>
      <c r="X7" s="76"/>
      <c r="Y7" s="77">
        <v>785.6</v>
      </c>
      <c r="Z7" s="74">
        <f t="shared" ref="Z7:Z24" si="5">SUM(T7:Y7)</f>
        <v>785.6</v>
      </c>
      <c r="AA7" s="70">
        <f t="shared" si="3"/>
        <v>14814.4</v>
      </c>
      <c r="AB7" s="71"/>
    </row>
    <row r="8" s="54" customFormat="1" ht="50" customHeight="1" spans="1:28">
      <c r="A8" s="71">
        <v>5</v>
      </c>
      <c r="B8" s="71" t="s">
        <v>46</v>
      </c>
      <c r="C8" s="71" t="s">
        <v>47</v>
      </c>
      <c r="D8" s="71" t="s">
        <v>48</v>
      </c>
      <c r="E8" s="72">
        <v>7000</v>
      </c>
      <c r="F8" s="72">
        <v>21</v>
      </c>
      <c r="G8" s="72">
        <f>E8*VLOOKUP(D8,职务序列取数!B:E,2,0)</f>
        <v>5600</v>
      </c>
      <c r="H8" s="72">
        <f>E8*VLOOKUP(D8,职务序列取数!B:E,3,0)</f>
        <v>1400</v>
      </c>
      <c r="I8" s="72">
        <f>E8*VLOOKUP(D8,职务序列取数!B:E,4,0)</f>
        <v>0</v>
      </c>
      <c r="J8" s="73"/>
      <c r="K8" s="72"/>
      <c r="L8" s="73"/>
      <c r="M8" s="73">
        <v>-20</v>
      </c>
      <c r="N8" s="73"/>
      <c r="O8" s="74">
        <f t="shared" si="4"/>
        <v>-20</v>
      </c>
      <c r="P8" s="73">
        <f t="shared" si="0"/>
        <v>266.666666666667</v>
      </c>
      <c r="Q8" s="73">
        <f t="shared" si="1"/>
        <v>66.6666666666667</v>
      </c>
      <c r="R8" s="75">
        <f>VLOOKUP(B8,考勤!B:AI,34,0)</f>
        <v>21</v>
      </c>
      <c r="S8" s="70">
        <f t="shared" si="2"/>
        <v>6980.00000000001</v>
      </c>
      <c r="T8" s="76">
        <f>405.52*4</f>
        <v>1622.08</v>
      </c>
      <c r="U8" s="76">
        <f>25.35*4</f>
        <v>101.4</v>
      </c>
      <c r="V8" s="76">
        <f>101.38*4+365</f>
        <v>770.52</v>
      </c>
      <c r="W8" s="76">
        <f>21.12*4</f>
        <v>84.48</v>
      </c>
      <c r="X8" s="76">
        <f>250*4</f>
        <v>1000</v>
      </c>
      <c r="Y8" s="77"/>
      <c r="Z8" s="74">
        <f t="shared" si="5"/>
        <v>3578.48</v>
      </c>
      <c r="AA8" s="70">
        <f t="shared" si="3"/>
        <v>3401.52000000001</v>
      </c>
      <c r="AB8" s="2" t="s">
        <v>49</v>
      </c>
    </row>
    <row r="9" s="54" customFormat="1" ht="50" customHeight="1" spans="1:28">
      <c r="A9" s="71">
        <v>6</v>
      </c>
      <c r="B9" s="71" t="s">
        <v>50</v>
      </c>
      <c r="C9" s="71" t="s">
        <v>51</v>
      </c>
      <c r="D9" s="71" t="s">
        <v>48</v>
      </c>
      <c r="E9" s="72">
        <v>6000</v>
      </c>
      <c r="F9" s="72">
        <v>21</v>
      </c>
      <c r="G9" s="72">
        <f>E9*VLOOKUP(D9,职务序列取数!B:E,2,0)</f>
        <v>4800</v>
      </c>
      <c r="H9" s="72">
        <f>E9*VLOOKUP(D9,职务序列取数!B:E,3,0)</f>
        <v>1200</v>
      </c>
      <c r="I9" s="72">
        <f>E9*VLOOKUP(D9,职务序列取数!B:E,4,0)</f>
        <v>0</v>
      </c>
      <c r="J9" s="73"/>
      <c r="K9" s="72"/>
      <c r="L9" s="73"/>
      <c r="M9" s="73">
        <v>700</v>
      </c>
      <c r="N9" s="73"/>
      <c r="O9" s="74">
        <f t="shared" si="4"/>
        <v>700</v>
      </c>
      <c r="P9" s="73">
        <f t="shared" si="0"/>
        <v>228.571428571429</v>
      </c>
      <c r="Q9" s="73">
        <f t="shared" si="1"/>
        <v>57.1428571428571</v>
      </c>
      <c r="R9" s="75">
        <f>VLOOKUP(B9,考勤!B:AI,34,0)</f>
        <v>21</v>
      </c>
      <c r="S9" s="70">
        <f t="shared" si="2"/>
        <v>6700.00000000001</v>
      </c>
      <c r="T9" s="76">
        <f t="shared" ref="T8:T19" si="6">405.52</f>
        <v>405.52</v>
      </c>
      <c r="U9" s="76">
        <v>25.35</v>
      </c>
      <c r="V9" s="76">
        <v>101.38</v>
      </c>
      <c r="W9" s="76">
        <v>21.12</v>
      </c>
      <c r="X9" s="76">
        <v>250</v>
      </c>
      <c r="Y9" s="77"/>
      <c r="Z9" s="74">
        <f t="shared" si="5"/>
        <v>803.37</v>
      </c>
      <c r="AA9" s="70">
        <f t="shared" si="3"/>
        <v>5896.63000000001</v>
      </c>
      <c r="AB9" s="71"/>
    </row>
    <row r="10" s="54" customFormat="1" ht="50" customHeight="1" spans="1:28">
      <c r="A10" s="71">
        <v>7</v>
      </c>
      <c r="B10" s="71" t="s">
        <v>52</v>
      </c>
      <c r="C10" s="71" t="s">
        <v>53</v>
      </c>
      <c r="D10" s="71" t="s">
        <v>48</v>
      </c>
      <c r="E10" s="72">
        <v>7500</v>
      </c>
      <c r="F10" s="72">
        <v>21</v>
      </c>
      <c r="G10" s="72">
        <f>E10*VLOOKUP(D10,职务序列取数!B:E,2,0)</f>
        <v>6000</v>
      </c>
      <c r="H10" s="72">
        <f>E10*VLOOKUP(D10,职务序列取数!B:E,3,0)</f>
        <v>1500</v>
      </c>
      <c r="I10" s="72">
        <f>E10*VLOOKUP(D10,职务序列取数!B:E,4,0)</f>
        <v>0</v>
      </c>
      <c r="J10" s="73"/>
      <c r="K10" s="72"/>
      <c r="L10" s="73"/>
      <c r="M10" s="73"/>
      <c r="N10" s="73"/>
      <c r="O10" s="74">
        <f t="shared" si="4"/>
        <v>0</v>
      </c>
      <c r="P10" s="73">
        <f t="shared" si="0"/>
        <v>285.714285714286</v>
      </c>
      <c r="Q10" s="73">
        <f t="shared" si="1"/>
        <v>71.4285714285714</v>
      </c>
      <c r="R10" s="75">
        <f>VLOOKUP(B10,考勤!B:AI,34,0)</f>
        <v>21</v>
      </c>
      <c r="S10" s="70">
        <f t="shared" si="2"/>
        <v>7500.00000000001</v>
      </c>
      <c r="T10" s="76">
        <f t="shared" si="6"/>
        <v>405.52</v>
      </c>
      <c r="U10" s="76">
        <v>25.35</v>
      </c>
      <c r="V10" s="76">
        <v>101.38</v>
      </c>
      <c r="W10" s="76">
        <v>21.12</v>
      </c>
      <c r="X10" s="76">
        <v>250</v>
      </c>
      <c r="Y10" s="77"/>
      <c r="Z10" s="74">
        <f t="shared" si="5"/>
        <v>803.37</v>
      </c>
      <c r="AA10" s="70">
        <f t="shared" si="3"/>
        <v>6696.63000000001</v>
      </c>
      <c r="AB10" s="78"/>
    </row>
    <row r="11" s="54" customFormat="1" ht="50" customHeight="1" spans="1:28">
      <c r="A11" s="71">
        <v>8</v>
      </c>
      <c r="B11" s="71" t="s">
        <v>54</v>
      </c>
      <c r="C11" s="71" t="s">
        <v>55</v>
      </c>
      <c r="D11" s="71" t="s">
        <v>48</v>
      </c>
      <c r="E11" s="72">
        <v>6500</v>
      </c>
      <c r="F11" s="72">
        <v>21</v>
      </c>
      <c r="G11" s="72">
        <f>E11*VLOOKUP(D11,职务序列取数!B:E,2,0)</f>
        <v>5200</v>
      </c>
      <c r="H11" s="72">
        <f>E11*VLOOKUP(D11,职务序列取数!B:E,3,0)</f>
        <v>1300</v>
      </c>
      <c r="I11" s="72">
        <f>E11*VLOOKUP(D11,职务序列取数!B:E,4,0)</f>
        <v>0</v>
      </c>
      <c r="J11" s="73"/>
      <c r="K11" s="72"/>
      <c r="L11" s="73"/>
      <c r="M11" s="73">
        <v>100</v>
      </c>
      <c r="N11" s="73"/>
      <c r="O11" s="74">
        <f t="shared" si="4"/>
        <v>100</v>
      </c>
      <c r="P11" s="73">
        <f t="shared" si="0"/>
        <v>247.619047619048</v>
      </c>
      <c r="Q11" s="73">
        <f t="shared" si="1"/>
        <v>61.9047619047619</v>
      </c>
      <c r="R11" s="75">
        <f>VLOOKUP(B11,考勤!B:AI,34,0)</f>
        <v>21</v>
      </c>
      <c r="S11" s="70">
        <f t="shared" si="2"/>
        <v>6600.00000000001</v>
      </c>
      <c r="T11" s="76">
        <f t="shared" si="6"/>
        <v>405.52</v>
      </c>
      <c r="U11" s="76">
        <v>25.35</v>
      </c>
      <c r="V11" s="76">
        <v>101.38</v>
      </c>
      <c r="W11" s="76">
        <v>21.12</v>
      </c>
      <c r="X11" s="76">
        <v>250</v>
      </c>
      <c r="Y11" s="77"/>
      <c r="Z11" s="74">
        <f t="shared" si="5"/>
        <v>803.37</v>
      </c>
      <c r="AA11" s="70">
        <f t="shared" si="3"/>
        <v>5796.63000000001</v>
      </c>
      <c r="AB11" s="71"/>
    </row>
    <row r="12" s="54" customFormat="1" ht="50" customHeight="1" spans="1:28">
      <c r="A12" s="71">
        <v>9</v>
      </c>
      <c r="B12" s="71" t="s">
        <v>56</v>
      </c>
      <c r="C12" s="71" t="s">
        <v>57</v>
      </c>
      <c r="D12" s="71" t="s">
        <v>48</v>
      </c>
      <c r="E12" s="72">
        <v>7800</v>
      </c>
      <c r="F12" s="72">
        <v>21</v>
      </c>
      <c r="G12" s="72">
        <f>E12*VLOOKUP(D12,职务序列取数!B:E,2,0)</f>
        <v>6240</v>
      </c>
      <c r="H12" s="72">
        <f>E12*VLOOKUP(D12,职务序列取数!B:E,3,0)</f>
        <v>1560</v>
      </c>
      <c r="I12" s="72">
        <v>0</v>
      </c>
      <c r="J12" s="73"/>
      <c r="K12" s="72"/>
      <c r="L12" s="73"/>
      <c r="M12" s="73"/>
      <c r="N12" s="73"/>
      <c r="O12" s="74">
        <f t="shared" si="4"/>
        <v>0</v>
      </c>
      <c r="P12" s="73">
        <f t="shared" si="0"/>
        <v>297.142857142857</v>
      </c>
      <c r="Q12" s="73">
        <f t="shared" si="1"/>
        <v>74.2857142857143</v>
      </c>
      <c r="R12" s="75">
        <f>VLOOKUP(B12,考勤!B:AI,34,0)</f>
        <v>21</v>
      </c>
      <c r="S12" s="70">
        <f t="shared" si="2"/>
        <v>7800</v>
      </c>
      <c r="T12" s="76">
        <f t="shared" si="6"/>
        <v>405.52</v>
      </c>
      <c r="U12" s="76">
        <v>25.35</v>
      </c>
      <c r="V12" s="76">
        <v>101.38</v>
      </c>
      <c r="W12" s="76">
        <v>21.12</v>
      </c>
      <c r="X12" s="76">
        <v>250</v>
      </c>
      <c r="Y12" s="77">
        <v>29.9</v>
      </c>
      <c r="Z12" s="74">
        <f t="shared" si="5"/>
        <v>833.27</v>
      </c>
      <c r="AA12" s="70">
        <f t="shared" si="3"/>
        <v>6966.73</v>
      </c>
      <c r="AB12" s="78"/>
    </row>
    <row r="13" s="54" customFormat="1" ht="50" customHeight="1" spans="1:28">
      <c r="A13" s="71">
        <v>10</v>
      </c>
      <c r="B13" s="71" t="s">
        <v>58</v>
      </c>
      <c r="C13" s="71" t="s">
        <v>59</v>
      </c>
      <c r="D13" s="71" t="s">
        <v>48</v>
      </c>
      <c r="E13" s="72">
        <v>4500</v>
      </c>
      <c r="F13" s="72">
        <v>21</v>
      </c>
      <c r="G13" s="72">
        <f>E13*VLOOKUP(D13,职务序列取数!B:E,2,0)</f>
        <v>3600</v>
      </c>
      <c r="H13" s="72">
        <f>E13*VLOOKUP(D13,职务序列取数!B:E,3,0)</f>
        <v>900</v>
      </c>
      <c r="I13" s="72">
        <f>E13*VLOOKUP(D13,职务序列取数!B:E,4,0)</f>
        <v>0</v>
      </c>
      <c r="J13" s="73"/>
      <c r="K13" s="72"/>
      <c r="L13" s="73"/>
      <c r="M13" s="73">
        <f>24*30-20</f>
        <v>700</v>
      </c>
      <c r="N13" s="73"/>
      <c r="O13" s="74">
        <f t="shared" si="4"/>
        <v>700</v>
      </c>
      <c r="P13" s="73">
        <f t="shared" si="0"/>
        <v>171.428571428571</v>
      </c>
      <c r="Q13" s="73">
        <f t="shared" si="1"/>
        <v>42.8571428571429</v>
      </c>
      <c r="R13" s="75">
        <f>VLOOKUP(B13,考勤!B:AI,34,0)</f>
        <v>21</v>
      </c>
      <c r="S13" s="70">
        <f t="shared" si="2"/>
        <v>5199.99999999999</v>
      </c>
      <c r="T13" s="76">
        <f t="shared" si="6"/>
        <v>405.52</v>
      </c>
      <c r="U13" s="76">
        <v>25.35</v>
      </c>
      <c r="V13" s="76">
        <v>101.38</v>
      </c>
      <c r="W13" s="76">
        <v>21.12</v>
      </c>
      <c r="X13" s="76">
        <v>250</v>
      </c>
      <c r="Y13" s="77"/>
      <c r="Z13" s="74">
        <f t="shared" si="5"/>
        <v>803.37</v>
      </c>
      <c r="AA13" s="70">
        <f t="shared" si="3"/>
        <v>4396.62999999999</v>
      </c>
      <c r="AB13" s="71" t="s">
        <v>49</v>
      </c>
    </row>
    <row r="14" s="54" customFormat="1" ht="50" customHeight="1" spans="1:28">
      <c r="A14" s="71">
        <v>11</v>
      </c>
      <c r="B14" s="71" t="s">
        <v>60</v>
      </c>
      <c r="C14" s="71" t="s">
        <v>61</v>
      </c>
      <c r="D14" s="71" t="s">
        <v>48</v>
      </c>
      <c r="E14" s="72">
        <v>13500</v>
      </c>
      <c r="F14" s="72">
        <v>21</v>
      </c>
      <c r="G14" s="72">
        <f>E14*VLOOKUP(D14,职务序列取数!B:E,2,0)</f>
        <v>10800</v>
      </c>
      <c r="H14" s="72">
        <f>E14*VLOOKUP(D14,职务序列取数!B:E,3,0)</f>
        <v>2700</v>
      </c>
      <c r="I14" s="72">
        <f>E14*VLOOKUP(D14,职务序列取数!B:E,4,0)</f>
        <v>0</v>
      </c>
      <c r="J14" s="73"/>
      <c r="K14" s="72">
        <v>-1650</v>
      </c>
      <c r="L14" s="73"/>
      <c r="M14" s="73"/>
      <c r="N14" s="73"/>
      <c r="O14" s="74">
        <f t="shared" si="4"/>
        <v>-1650</v>
      </c>
      <c r="P14" s="73">
        <f t="shared" si="0"/>
        <v>514.285714285714</v>
      </c>
      <c r="Q14" s="73">
        <f t="shared" si="1"/>
        <v>128.571428571429</v>
      </c>
      <c r="R14" s="75">
        <f>VLOOKUP(B14,考勤!B:AI,34,0)</f>
        <v>21</v>
      </c>
      <c r="S14" s="70">
        <f t="shared" si="2"/>
        <v>11850</v>
      </c>
      <c r="T14" s="76">
        <f t="shared" si="6"/>
        <v>405.52</v>
      </c>
      <c r="U14" s="76">
        <v>25.35</v>
      </c>
      <c r="V14" s="76">
        <v>101.38</v>
      </c>
      <c r="W14" s="76">
        <v>21.12</v>
      </c>
      <c r="X14" s="76">
        <v>250</v>
      </c>
      <c r="Y14" s="77">
        <v>169.4</v>
      </c>
      <c r="Z14" s="74">
        <f t="shared" si="5"/>
        <v>972.77</v>
      </c>
      <c r="AA14" s="70">
        <f t="shared" si="3"/>
        <v>10877.23</v>
      </c>
      <c r="AB14" s="71" t="s">
        <v>49</v>
      </c>
    </row>
    <row r="15" s="1" customFormat="1" ht="50" customHeight="1" spans="1:28">
      <c r="A15" s="71">
        <v>12</v>
      </c>
      <c r="B15" s="71" t="s">
        <v>62</v>
      </c>
      <c r="C15" s="71" t="s">
        <v>63</v>
      </c>
      <c r="D15" s="71" t="s">
        <v>48</v>
      </c>
      <c r="E15" s="72">
        <v>12000</v>
      </c>
      <c r="F15" s="72">
        <v>21</v>
      </c>
      <c r="G15" s="72">
        <f>E15*VLOOKUP(D15,职务序列取数!B:E,2,0)</f>
        <v>9600</v>
      </c>
      <c r="H15" s="72">
        <f>E15*VLOOKUP(D15,职务序列取数!B:E,3,0)</f>
        <v>2400</v>
      </c>
      <c r="I15" s="72"/>
      <c r="J15" s="73"/>
      <c r="K15" s="72">
        <v>-1650</v>
      </c>
      <c r="L15" s="73"/>
      <c r="M15" s="73"/>
      <c r="N15" s="73"/>
      <c r="O15" s="74">
        <f t="shared" si="4"/>
        <v>-1650</v>
      </c>
      <c r="P15" s="73">
        <f t="shared" si="0"/>
        <v>457.142857142857</v>
      </c>
      <c r="Q15" s="73">
        <f t="shared" si="1"/>
        <v>114.285714285714</v>
      </c>
      <c r="R15" s="75">
        <f>VLOOKUP(B15,考勤!B:AI,34,0)</f>
        <v>21</v>
      </c>
      <c r="S15" s="70">
        <f t="shared" si="2"/>
        <v>10350</v>
      </c>
      <c r="T15" s="76">
        <f t="shared" si="6"/>
        <v>405.52</v>
      </c>
      <c r="U15" s="76">
        <v>25.35</v>
      </c>
      <c r="V15" s="76">
        <v>101.38</v>
      </c>
      <c r="W15" s="76">
        <v>25.35</v>
      </c>
      <c r="X15" s="76">
        <v>250</v>
      </c>
      <c r="Y15" s="77"/>
      <c r="Z15" s="74">
        <f t="shared" si="5"/>
        <v>807.6</v>
      </c>
      <c r="AA15" s="70">
        <f t="shared" si="3"/>
        <v>9542.4</v>
      </c>
      <c r="AB15" s="71"/>
    </row>
    <row r="16" s="1" customFormat="1" ht="50" customHeight="1" spans="1:28">
      <c r="A16" s="71">
        <v>13</v>
      </c>
      <c r="B16" s="71" t="s">
        <v>64</v>
      </c>
      <c r="C16" s="71" t="s">
        <v>65</v>
      </c>
      <c r="D16" s="71" t="s">
        <v>48</v>
      </c>
      <c r="E16" s="72">
        <v>4500</v>
      </c>
      <c r="F16" s="72">
        <v>21</v>
      </c>
      <c r="G16" s="72">
        <f>E16*VLOOKUP(D16,职务序列取数!B:E,2,0)</f>
        <v>3600</v>
      </c>
      <c r="H16" s="72">
        <f>E16*VLOOKUP(D16,职务序列取数!B:E,3,0)</f>
        <v>900</v>
      </c>
      <c r="I16" s="72">
        <f>E16*VLOOKUP(D16,职务序列取数!B:E,4,0)</f>
        <v>0</v>
      </c>
      <c r="J16" s="73"/>
      <c r="K16" s="72"/>
      <c r="L16" s="73"/>
      <c r="M16" s="73">
        <v>1091.46</v>
      </c>
      <c r="N16" s="73"/>
      <c r="O16" s="74">
        <f t="shared" si="4"/>
        <v>1091.46</v>
      </c>
      <c r="P16" s="73">
        <f t="shared" si="0"/>
        <v>171.428571428571</v>
      </c>
      <c r="Q16" s="73">
        <f t="shared" si="1"/>
        <v>42.8571428571429</v>
      </c>
      <c r="R16" s="75">
        <f>VLOOKUP(B16,考勤!B:AI,34,0)</f>
        <v>21</v>
      </c>
      <c r="S16" s="70">
        <f t="shared" si="2"/>
        <v>5591.45999999999</v>
      </c>
      <c r="T16" s="76">
        <f t="shared" si="6"/>
        <v>405.52</v>
      </c>
      <c r="U16" s="76">
        <v>25.35</v>
      </c>
      <c r="V16" s="76">
        <v>101.38</v>
      </c>
      <c r="W16" s="76">
        <v>21.12</v>
      </c>
      <c r="X16" s="76">
        <v>250</v>
      </c>
      <c r="Y16" s="77"/>
      <c r="Z16" s="74">
        <f t="shared" si="5"/>
        <v>803.37</v>
      </c>
      <c r="AA16" s="70">
        <f t="shared" si="3"/>
        <v>4788.08999999999</v>
      </c>
      <c r="AB16" s="71"/>
    </row>
    <row r="17" s="1" customFormat="1" ht="50" customHeight="1" spans="1:34">
      <c r="A17" s="71">
        <v>14</v>
      </c>
      <c r="B17" s="71" t="s">
        <v>66</v>
      </c>
      <c r="C17" s="71" t="s">
        <v>67</v>
      </c>
      <c r="D17" s="71" t="s">
        <v>68</v>
      </c>
      <c r="E17" s="72">
        <v>5000</v>
      </c>
      <c r="F17" s="72">
        <v>26</v>
      </c>
      <c r="G17" s="72">
        <v>2450</v>
      </c>
      <c r="H17" s="72">
        <f>E17-G17</f>
        <v>2550</v>
      </c>
      <c r="I17" s="72">
        <f>E17*VLOOKUP(D17,职务序列取数!B:E,4,0)</f>
        <v>0</v>
      </c>
      <c r="J17" s="73"/>
      <c r="K17" s="72"/>
      <c r="L17" s="73"/>
      <c r="M17" s="73"/>
      <c r="N17" s="73"/>
      <c r="O17" s="74">
        <f t="shared" si="4"/>
        <v>0</v>
      </c>
      <c r="P17" s="73">
        <f t="shared" si="0"/>
        <v>94.2307692307692</v>
      </c>
      <c r="Q17" s="73">
        <f t="shared" si="1"/>
        <v>98.0769230769231</v>
      </c>
      <c r="R17" s="75">
        <f>VLOOKUP(B17,考勤!B:AI,34,0)</f>
        <v>26</v>
      </c>
      <c r="S17" s="70">
        <f t="shared" si="2"/>
        <v>5000</v>
      </c>
      <c r="T17" s="76">
        <f t="shared" si="6"/>
        <v>405.52</v>
      </c>
      <c r="U17" s="76">
        <v>25.35</v>
      </c>
      <c r="V17" s="76">
        <v>101.38</v>
      </c>
      <c r="W17" s="76">
        <v>21.12</v>
      </c>
      <c r="X17" s="76">
        <v>250</v>
      </c>
      <c r="Y17" s="77"/>
      <c r="Z17" s="74">
        <f t="shared" si="5"/>
        <v>803.37</v>
      </c>
      <c r="AA17" s="70">
        <f t="shared" si="3"/>
        <v>4196.63</v>
      </c>
      <c r="AB17" s="79"/>
    </row>
    <row r="18" s="1" customFormat="1" ht="60" customHeight="1" spans="1:34">
      <c r="A18" s="71">
        <v>15</v>
      </c>
      <c r="B18" s="71" t="s">
        <v>69</v>
      </c>
      <c r="C18" s="71" t="s">
        <v>67</v>
      </c>
      <c r="D18" s="71" t="s">
        <v>68</v>
      </c>
      <c r="E18" s="72">
        <v>4000</v>
      </c>
      <c r="F18" s="72">
        <v>26</v>
      </c>
      <c r="G18" s="72">
        <v>2450</v>
      </c>
      <c r="H18" s="72">
        <f>E18-G18</f>
        <v>1550</v>
      </c>
      <c r="I18" s="72">
        <f>E18*VLOOKUP(D18,职务序列取数!B:E,4,0)</f>
        <v>0</v>
      </c>
      <c r="J18" s="73"/>
      <c r="K18" s="72"/>
      <c r="L18" s="73"/>
      <c r="M18" s="73"/>
      <c r="N18" s="73">
        <v>20662.82</v>
      </c>
      <c r="O18" s="74">
        <f t="shared" si="4"/>
        <v>20662.82</v>
      </c>
      <c r="P18" s="73">
        <f t="shared" si="0"/>
        <v>94.2307692307692</v>
      </c>
      <c r="Q18" s="73">
        <f t="shared" si="1"/>
        <v>59.6153846153846</v>
      </c>
      <c r="R18" s="75">
        <f>VLOOKUP(B18,考勤!B:AI,34,0)</f>
        <v>26</v>
      </c>
      <c r="S18" s="70">
        <f t="shared" si="2"/>
        <v>24662.82</v>
      </c>
      <c r="T18" s="76">
        <f t="shared" si="6"/>
        <v>405.52</v>
      </c>
      <c r="U18" s="76">
        <v>25.35</v>
      </c>
      <c r="V18" s="76">
        <v>101.38</v>
      </c>
      <c r="W18" s="76">
        <v>21.12</v>
      </c>
      <c r="X18" s="76">
        <v>250</v>
      </c>
      <c r="Y18" s="77">
        <v>359.11</v>
      </c>
      <c r="Z18" s="74">
        <f t="shared" si="5"/>
        <v>1162.48</v>
      </c>
      <c r="AA18" s="70">
        <f t="shared" si="3"/>
        <v>23500.34</v>
      </c>
      <c r="AB18" s="78"/>
    </row>
    <row r="19" s="1" customFormat="1" ht="60" customHeight="1" spans="1:34">
      <c r="A19" s="71">
        <v>16</v>
      </c>
      <c r="B19" s="71" t="s">
        <v>70</v>
      </c>
      <c r="C19" s="71" t="s">
        <v>67</v>
      </c>
      <c r="D19" s="71" t="s">
        <v>68</v>
      </c>
      <c r="E19" s="72">
        <v>5000</v>
      </c>
      <c r="F19" s="72">
        <v>26</v>
      </c>
      <c r="G19" s="72">
        <v>2450</v>
      </c>
      <c r="H19" s="72">
        <f>E19-G19</f>
        <v>2550</v>
      </c>
      <c r="I19" s="72">
        <f>E19*VLOOKUP(D19,职务序列取数!B:E,4,0)</f>
        <v>0</v>
      </c>
      <c r="J19" s="73"/>
      <c r="K19" s="72"/>
      <c r="L19" s="73"/>
      <c r="M19" s="73"/>
      <c r="N19" s="73">
        <f>1048.93+1517.25</f>
        <v>2566.18</v>
      </c>
      <c r="O19" s="74">
        <f t="shared" si="4"/>
        <v>2566.18</v>
      </c>
      <c r="P19" s="73">
        <f t="shared" si="0"/>
        <v>94.2307692307692</v>
      </c>
      <c r="Q19" s="73">
        <f t="shared" si="1"/>
        <v>98.0769230769231</v>
      </c>
      <c r="R19" s="75">
        <f>VLOOKUP(B19,考勤!B:AI,34,0)</f>
        <v>26</v>
      </c>
      <c r="S19" s="70">
        <f t="shared" si="2"/>
        <v>7566.18</v>
      </c>
      <c r="T19" s="76">
        <f t="shared" si="6"/>
        <v>405.52</v>
      </c>
      <c r="U19" s="76">
        <v>25.35</v>
      </c>
      <c r="V19" s="76">
        <v>101.38</v>
      </c>
      <c r="W19" s="76">
        <v>21.12</v>
      </c>
      <c r="X19" s="76">
        <v>250</v>
      </c>
      <c r="Y19" s="77"/>
      <c r="Z19" s="74">
        <f t="shared" si="5"/>
        <v>803.37</v>
      </c>
      <c r="AA19" s="70">
        <f t="shared" si="3"/>
        <v>6762.81</v>
      </c>
      <c r="AB19" s="79"/>
    </row>
    <row r="20" s="1" customFormat="1" ht="60" customHeight="1" spans="1:34">
      <c r="A20" s="71">
        <v>17</v>
      </c>
      <c r="B20" s="71" t="s">
        <v>71</v>
      </c>
      <c r="C20" s="71" t="s">
        <v>67</v>
      </c>
      <c r="D20" s="71" t="s">
        <v>68</v>
      </c>
      <c r="E20" s="72"/>
      <c r="F20" s="72"/>
      <c r="G20" s="72"/>
      <c r="H20" s="72"/>
      <c r="I20" s="72">
        <f>E20*VLOOKUP(D20,职务序列取数!B:E,4,0)</f>
        <v>0</v>
      </c>
      <c r="J20" s="73"/>
      <c r="K20" s="72"/>
      <c r="L20" s="73"/>
      <c r="M20" s="73"/>
      <c r="N20" s="73">
        <v>892</v>
      </c>
      <c r="O20" s="74">
        <f t="shared" si="4"/>
        <v>892</v>
      </c>
      <c r="P20" s="73"/>
      <c r="Q20" s="73"/>
      <c r="R20" s="75">
        <f>VLOOKUP(B20,考勤!B:AI,34,0)</f>
        <v>0</v>
      </c>
      <c r="S20" s="70">
        <f t="shared" si="2"/>
        <v>892</v>
      </c>
      <c r="T20" s="76"/>
      <c r="U20" s="76"/>
      <c r="V20" s="76"/>
      <c r="W20" s="76"/>
      <c r="X20" s="76"/>
      <c r="Y20" s="77"/>
      <c r="Z20" s="74">
        <f t="shared" si="5"/>
        <v>0</v>
      </c>
      <c r="AA20" s="70">
        <f t="shared" si="3"/>
        <v>892</v>
      </c>
      <c r="AB20" s="79"/>
    </row>
    <row r="21" s="1" customFormat="1" ht="120" customHeight="1" spans="1:34">
      <c r="A21" s="71">
        <v>18</v>
      </c>
      <c r="B21" s="71" t="s">
        <v>72</v>
      </c>
      <c r="C21" s="71" t="s">
        <v>73</v>
      </c>
      <c r="D21" s="71" t="s">
        <v>68</v>
      </c>
      <c r="E21" s="72">
        <v>4000</v>
      </c>
      <c r="F21" s="72">
        <v>26</v>
      </c>
      <c r="G21" s="72">
        <f>E21*VLOOKUP(D21,职务序列取数!B:E,2,0)</f>
        <v>0</v>
      </c>
      <c r="H21" s="72">
        <f>E21*VLOOKUP(D21,职务序列取数!B:E,3,0)</f>
        <v>0</v>
      </c>
      <c r="I21" s="72"/>
      <c r="J21" s="73"/>
      <c r="K21" s="72">
        <v>-1200</v>
      </c>
      <c r="L21" s="73"/>
      <c r="M21" s="73"/>
      <c r="N21" s="73">
        <f>13861.74+1896.57+131.91+801</f>
        <v>16691.22</v>
      </c>
      <c r="O21" s="74">
        <f t="shared" si="4"/>
        <v>15491.22</v>
      </c>
      <c r="P21" s="73">
        <f t="shared" si="0"/>
        <v>0</v>
      </c>
      <c r="Q21" s="73">
        <f t="shared" si="1"/>
        <v>0</v>
      </c>
      <c r="R21" s="75">
        <f>VLOOKUP(B21,考勤!B:AI,34,0)</f>
        <v>26</v>
      </c>
      <c r="S21" s="70">
        <f t="shared" si="2"/>
        <v>15491.22</v>
      </c>
      <c r="T21" s="76">
        <f>405.52</f>
        <v>405.52</v>
      </c>
      <c r="U21" s="76">
        <v>25.35</v>
      </c>
      <c r="V21" s="76">
        <v>101.38</v>
      </c>
      <c r="W21" s="76">
        <v>21.12</v>
      </c>
      <c r="X21" s="76">
        <v>250</v>
      </c>
      <c r="Y21" s="77">
        <v>44.04</v>
      </c>
      <c r="Z21" s="74">
        <v>44.04</v>
      </c>
      <c r="AA21" s="70">
        <f t="shared" si="3"/>
        <v>15447.18</v>
      </c>
      <c r="AB21" s="80" t="s">
        <v>74</v>
      </c>
    </row>
    <row r="22" s="1" customFormat="1" ht="50" customHeight="1" spans="1:34">
      <c r="A22" s="71">
        <v>19</v>
      </c>
      <c r="B22" s="71" t="s">
        <v>75</v>
      </c>
      <c r="C22" s="71" t="s">
        <v>67</v>
      </c>
      <c r="D22" s="71" t="s">
        <v>68</v>
      </c>
      <c r="E22" s="72">
        <v>4500</v>
      </c>
      <c r="F22" s="72">
        <v>26</v>
      </c>
      <c r="G22" s="72">
        <v>2450</v>
      </c>
      <c r="H22" s="72">
        <f>E22-G22</f>
        <v>2050</v>
      </c>
      <c r="I22" s="72">
        <f>E22*VLOOKUP(D22,职务序列取数!B:E,4,0)</f>
        <v>0</v>
      </c>
      <c r="J22" s="73"/>
      <c r="K22" s="72"/>
      <c r="L22" s="73"/>
      <c r="M22" s="73"/>
      <c r="N22" s="73">
        <v>320</v>
      </c>
      <c r="O22" s="74">
        <f t="shared" si="4"/>
        <v>320</v>
      </c>
      <c r="P22" s="73">
        <f t="shared" si="0"/>
        <v>94.2307692307692</v>
      </c>
      <c r="Q22" s="73">
        <f t="shared" si="1"/>
        <v>78.8461538461538</v>
      </c>
      <c r="R22" s="75">
        <f>VLOOKUP(B22,考勤!B:AI,34,0)</f>
        <v>26</v>
      </c>
      <c r="S22" s="70">
        <f t="shared" si="2"/>
        <v>4820</v>
      </c>
      <c r="T22" s="76">
        <f>405.52</f>
        <v>405.52</v>
      </c>
      <c r="U22" s="76">
        <v>25.35</v>
      </c>
      <c r="V22" s="76">
        <v>101.38</v>
      </c>
      <c r="W22" s="76">
        <v>21.12</v>
      </c>
      <c r="X22" s="76">
        <v>250</v>
      </c>
      <c r="Y22" s="77"/>
      <c r="Z22" s="74">
        <f t="shared" si="5"/>
        <v>803.37</v>
      </c>
      <c r="AA22" s="70">
        <f t="shared" si="3"/>
        <v>4016.63</v>
      </c>
      <c r="AB22" s="79"/>
    </row>
    <row r="23" s="1" customFormat="1" ht="50" customHeight="1" spans="1:34">
      <c r="A23" s="71">
        <v>20</v>
      </c>
      <c r="B23" s="71" t="s">
        <v>76</v>
      </c>
      <c r="C23" s="71" t="s">
        <v>67</v>
      </c>
      <c r="D23" s="71" t="s">
        <v>68</v>
      </c>
      <c r="E23" s="72"/>
      <c r="F23" s="72"/>
      <c r="G23" s="72"/>
      <c r="H23" s="72"/>
      <c r="I23" s="72"/>
      <c r="J23" s="73"/>
      <c r="K23" s="72"/>
      <c r="L23" s="73"/>
      <c r="M23" s="73"/>
      <c r="N23" s="73">
        <v>3800</v>
      </c>
      <c r="O23" s="74">
        <f t="shared" si="4"/>
        <v>3800</v>
      </c>
      <c r="P23" s="73"/>
      <c r="Q23" s="73"/>
      <c r="R23" s="75"/>
      <c r="S23" s="70">
        <f t="shared" si="2"/>
        <v>3800</v>
      </c>
      <c r="T23" s="76"/>
      <c r="U23" s="76"/>
      <c r="V23" s="76"/>
      <c r="W23" s="76"/>
      <c r="X23" s="76"/>
      <c r="Y23" s="77"/>
      <c r="Z23" s="74">
        <f t="shared" si="5"/>
        <v>0</v>
      </c>
      <c r="AA23" s="70">
        <f t="shared" si="3"/>
        <v>3800</v>
      </c>
      <c r="AB23" s="79"/>
    </row>
    <row r="24" s="1" customFormat="1" ht="50" customHeight="1" spans="1:34">
      <c r="A24" s="71">
        <v>21</v>
      </c>
      <c r="B24" s="71" t="s">
        <v>77</v>
      </c>
      <c r="C24" s="71" t="s">
        <v>67</v>
      </c>
      <c r="D24" s="71" t="s">
        <v>68</v>
      </c>
      <c r="E24" s="72"/>
      <c r="F24" s="72"/>
      <c r="G24" s="72"/>
      <c r="H24" s="72"/>
      <c r="I24" s="72">
        <f>E24*VLOOKUP(D24,职务序列取数!B:E,4,0)</f>
        <v>0</v>
      </c>
      <c r="J24" s="73"/>
      <c r="K24" s="72"/>
      <c r="L24" s="73"/>
      <c r="M24" s="73"/>
      <c r="N24" s="73">
        <v>4105.2</v>
      </c>
      <c r="O24" s="74">
        <f t="shared" si="4"/>
        <v>4105.2</v>
      </c>
      <c r="P24" s="73"/>
      <c r="Q24" s="73"/>
      <c r="R24" s="75">
        <f>VLOOKUP(B24,考勤!B:AI,34,0)</f>
        <v>0</v>
      </c>
      <c r="S24" s="70">
        <f t="shared" si="2"/>
        <v>4105.2</v>
      </c>
      <c r="T24" s="76"/>
      <c r="U24" s="76"/>
      <c r="V24" s="76"/>
      <c r="W24" s="76"/>
      <c r="X24" s="76"/>
      <c r="Y24" s="77"/>
      <c r="Z24" s="74">
        <f t="shared" si="5"/>
        <v>0</v>
      </c>
      <c r="AA24" s="70">
        <f t="shared" si="3"/>
        <v>4105.2</v>
      </c>
      <c r="AB24" s="78"/>
    </row>
    <row r="25" ht="55" customHeight="1" spans="1:34">
      <c r="A25" s="71"/>
      <c r="B25" s="63" t="s">
        <v>78</v>
      </c>
      <c r="C25" s="66"/>
      <c r="D25" s="70"/>
      <c r="E25" s="62">
        <f>SUM(E4:E24)</f>
        <v>159800</v>
      </c>
      <c r="F25" s="62"/>
      <c r="G25" s="70">
        <f t="shared" ref="G25:O25" si="7">SUM(G4:G24)</f>
        <v>99920</v>
      </c>
      <c r="H25" s="70">
        <f t="shared" si="7"/>
        <v>45680</v>
      </c>
      <c r="I25" s="70">
        <f t="shared" si="7"/>
        <v>10200</v>
      </c>
      <c r="J25" s="70">
        <f t="shared" si="7"/>
        <v>0</v>
      </c>
      <c r="K25" s="70">
        <f t="shared" si="7"/>
        <v>-14236</v>
      </c>
      <c r="L25" s="70">
        <f t="shared" si="7"/>
        <v>0</v>
      </c>
      <c r="M25" s="70">
        <f t="shared" si="7"/>
        <v>2871.46</v>
      </c>
      <c r="N25" s="70">
        <f t="shared" si="7"/>
        <v>49037.42</v>
      </c>
      <c r="O25" s="70">
        <f t="shared" si="7"/>
        <v>37672.88</v>
      </c>
      <c r="P25" s="70"/>
      <c r="Q25" s="70"/>
      <c r="R25" s="70"/>
      <c r="S25" s="70">
        <f>SUM(S4:S24)</f>
        <v>183272.88</v>
      </c>
      <c r="T25" s="70">
        <f t="shared" ref="S25:AA25" si="8">SUM(T4:T24)</f>
        <v>7704.88</v>
      </c>
      <c r="U25" s="70">
        <f t="shared" si="8"/>
        <v>481.65</v>
      </c>
      <c r="V25" s="70">
        <f t="shared" si="8"/>
        <v>2037.76</v>
      </c>
      <c r="W25" s="70">
        <f t="shared" si="8"/>
        <v>405.51</v>
      </c>
      <c r="X25" s="70">
        <f t="shared" si="8"/>
        <v>4950</v>
      </c>
      <c r="Y25" s="70">
        <f t="shared" si="8"/>
        <v>2497.71</v>
      </c>
      <c r="Z25" s="70">
        <f t="shared" si="8"/>
        <v>17274.14</v>
      </c>
      <c r="AA25" s="70">
        <f t="shared" si="8"/>
        <v>165998.74</v>
      </c>
      <c r="AB25" s="81"/>
    </row>
    <row r="26" ht="90" customHeight="1" spans="1:34">
      <c r="A26" s="82" t="s">
        <v>79</v>
      </c>
      <c r="B26" s="83" t="s">
        <v>80</v>
      </c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83"/>
      <c r="AB26" s="83"/>
      <c r="AC26" s="84"/>
      <c r="AD26" s="84"/>
      <c r="AE26" s="84"/>
      <c r="AF26" s="84"/>
      <c r="AG26" s="84"/>
      <c r="AH26" s="84"/>
    </row>
    <row r="28" s="56" customFormat="1" ht="150" customHeight="1" spans="1:34">
      <c r="B28" s="56" t="s">
        <v>81</v>
      </c>
      <c r="K28" s="56" t="s">
        <v>82</v>
      </c>
      <c r="R28" s="56" t="s">
        <v>83</v>
      </c>
      <c r="Y28" s="85"/>
      <c r="Z28" s="56" t="s">
        <v>84</v>
      </c>
    </row>
  </sheetData>
  <mergeCells count="10">
    <mergeCell ref="A1:AB1"/>
    <mergeCell ref="B2:I2"/>
    <mergeCell ref="J2:O2"/>
    <mergeCell ref="P2:S2"/>
    <mergeCell ref="T2:Z2"/>
    <mergeCell ref="B25:C25"/>
    <mergeCell ref="B26:AB26"/>
    <mergeCell ref="A2:A3"/>
    <mergeCell ref="AA2:AA3"/>
    <mergeCell ref="AB2:AB3"/>
  </mergeCells>
  <printOptions horizontalCentered="1"/>
  <pageMargins left="0.109722222222222" right="0.109722222222222" top="0.357638888888889" bottom="0.357638888888889" header="0.298611111111111" footer="0.298611111111111"/>
  <pageSetup paperSize="9" scale="28" orientation="landscape" horizontalDpi="600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  <pageSetUpPr fitToPage="1"/>
  </sheetPr>
  <dimension ref="A1:IQ30"/>
  <sheetViews>
    <sheetView showZeros="0" view="pageBreakPreview" zoomScale="85" zoomScaleNormal="115" workbookViewId="0">
      <pane xSplit="3" ySplit="5" topLeftCell="D10" activePane="bottomRight" state="frozen"/>
      <selection/>
      <selection pane="topRight"/>
      <selection pane="bottomLeft"/>
      <selection pane="bottomRight" activeCell="Q23" sqref="Q23"/>
    </sheetView>
  </sheetViews>
  <sheetFormatPr defaultColWidth="2.88333333333333" defaultRowHeight="15" customHeight="1"/>
  <cols>
    <col min="1" max="1" width="4.83333333333333" style="6" customWidth="1"/>
    <col min="2" max="2" width="8.09166666666667" style="6" customWidth="1"/>
    <col min="3" max="3" width="15.6666666666667" style="6" customWidth="1"/>
    <col min="4" max="5" width="4.10833333333333" style="8" customWidth="1"/>
    <col min="6" max="10" width="4.10833333333333" style="6" customWidth="1"/>
    <col min="11" max="14" width="4.10833333333333" style="8" customWidth="1"/>
    <col min="15" max="17" width="4.10833333333333" style="6" customWidth="1"/>
    <col min="18" max="19" width="4.10833333333333" style="8" customWidth="1"/>
    <col min="20" max="24" width="4.10833333333333" style="6" customWidth="1"/>
    <col min="25" max="26" width="4.10833333333333" style="8" customWidth="1"/>
    <col min="27" max="31" width="4.10833333333333" style="6" customWidth="1"/>
    <col min="32" max="33" width="4.10833333333333" style="8" customWidth="1"/>
    <col min="34" max="34" width="4.10833333333333" style="6" customWidth="1"/>
    <col min="35" max="35" width="4.25" style="6" customWidth="1"/>
    <col min="36" max="36" width="6.33333333333333" style="6" customWidth="1"/>
    <col min="37" max="39" width="3.21666666666667" style="6"/>
    <col min="40" max="44" width="3" style="6" customWidth="1"/>
    <col min="45" max="47" width="3.125" style="6" customWidth="1"/>
    <col min="48" max="48" width="3.21666666666667" style="6" customWidth="1"/>
    <col min="49" max="51" width="3.125" style="6" customWidth="1"/>
    <col min="52" max="52" width="8.63333333333333" style="6" customWidth="1"/>
    <col min="53" max="255" width="2.88333333333333" style="6"/>
    <col min="256" max="16384" width="2.88333333333333" style="9"/>
  </cols>
  <sheetData>
    <row r="1" ht="34.5" customHeight="1" spans="1:52">
      <c r="A1" s="10">
        <v>2026</v>
      </c>
      <c r="B1" s="11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1">
        <v>4</v>
      </c>
      <c r="W1" s="11"/>
      <c r="X1" s="12" t="s">
        <v>85</v>
      </c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2"/>
      <c r="AV1" s="12"/>
      <c r="AW1" s="12"/>
      <c r="AX1" s="12"/>
      <c r="AY1" s="12"/>
      <c r="AZ1" s="12"/>
    </row>
    <row r="2" customHeight="1" spans="1:52">
      <c r="A2" s="13"/>
      <c r="B2" s="14" t="s">
        <v>86</v>
      </c>
      <c r="C2" s="13" t="s">
        <v>29</v>
      </c>
      <c r="D2" s="13"/>
      <c r="E2" s="13"/>
      <c r="F2" s="13"/>
      <c r="G2" s="13"/>
      <c r="H2" s="13"/>
      <c r="I2" s="13"/>
      <c r="J2" s="15"/>
      <c r="K2" s="16"/>
      <c r="L2" s="16"/>
      <c r="M2" s="16"/>
      <c r="N2" s="16"/>
      <c r="O2" s="15"/>
      <c r="P2" s="15"/>
      <c r="Q2" s="15"/>
      <c r="R2" s="16"/>
      <c r="S2" s="16"/>
      <c r="T2" s="15"/>
      <c r="U2" s="15"/>
      <c r="V2" s="15"/>
      <c r="W2" s="15"/>
      <c r="X2" s="15"/>
      <c r="Y2" s="16"/>
      <c r="Z2" s="16"/>
      <c r="AA2" s="15"/>
      <c r="AB2" s="15"/>
      <c r="AC2" s="15"/>
      <c r="AD2" s="15"/>
      <c r="AE2" s="15"/>
      <c r="AF2" s="16"/>
      <c r="AG2" s="16"/>
      <c r="AH2" s="15"/>
      <c r="AI2" s="15"/>
      <c r="AJ2" s="17"/>
      <c r="AK2" s="18">
        <v>46148</v>
      </c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</row>
    <row r="3" ht="30" customHeight="1" spans="1:52">
      <c r="A3" s="19" t="s">
        <v>31</v>
      </c>
      <c r="B3" s="19" t="s">
        <v>32</v>
      </c>
      <c r="C3" s="19" t="s">
        <v>87</v>
      </c>
      <c r="D3" s="20" t="s">
        <v>88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21"/>
      <c r="AG3" s="21"/>
      <c r="AH3" s="22"/>
      <c r="AI3" s="19" t="s">
        <v>21</v>
      </c>
      <c r="AJ3" s="19" t="s">
        <v>89</v>
      </c>
      <c r="AK3" s="23" t="s">
        <v>90</v>
      </c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19" t="s">
        <v>91</v>
      </c>
    </row>
    <row r="4" ht="20.1" customHeight="1" spans="1:52">
      <c r="A4" s="25"/>
      <c r="B4" s="25"/>
      <c r="C4" s="25"/>
      <c r="D4" s="26">
        <f>V1</f>
        <v>4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/>
      <c r="T4" s="28" t="s">
        <v>92</v>
      </c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9"/>
      <c r="AI4" s="25"/>
      <c r="AJ4" s="25"/>
      <c r="AK4" s="30"/>
      <c r="AL4" s="31"/>
      <c r="AM4" s="31"/>
      <c r="AN4" s="31"/>
      <c r="AO4" s="31"/>
      <c r="AP4" s="31"/>
      <c r="AQ4" s="31"/>
      <c r="AR4" s="31"/>
      <c r="AS4" s="31"/>
      <c r="AT4" s="31"/>
      <c r="AU4" s="31"/>
      <c r="AV4" s="31"/>
      <c r="AW4" s="31"/>
      <c r="AX4" s="31"/>
      <c r="AY4" s="31"/>
      <c r="AZ4" s="25"/>
    </row>
    <row r="5" ht="78" customHeight="1" spans="1:52">
      <c r="A5" s="32"/>
      <c r="B5" s="32"/>
      <c r="C5" s="32"/>
      <c r="D5" s="33">
        <v>1</v>
      </c>
      <c r="E5" s="33">
        <v>2</v>
      </c>
      <c r="F5" s="33">
        <v>3</v>
      </c>
      <c r="G5" s="33">
        <v>4</v>
      </c>
      <c r="H5" s="33">
        <v>5</v>
      </c>
      <c r="I5" s="33">
        <v>6</v>
      </c>
      <c r="J5" s="33">
        <v>7</v>
      </c>
      <c r="K5" s="33">
        <v>8</v>
      </c>
      <c r="L5" s="33">
        <v>9</v>
      </c>
      <c r="M5" s="33">
        <v>10</v>
      </c>
      <c r="N5" s="33">
        <v>11</v>
      </c>
      <c r="O5" s="33">
        <v>12</v>
      </c>
      <c r="P5" s="33">
        <v>13</v>
      </c>
      <c r="Q5" s="33">
        <v>14</v>
      </c>
      <c r="R5" s="33">
        <v>15</v>
      </c>
      <c r="S5" s="33">
        <v>16</v>
      </c>
      <c r="T5" s="33">
        <v>17</v>
      </c>
      <c r="U5" s="33">
        <v>18</v>
      </c>
      <c r="V5" s="33">
        <v>19</v>
      </c>
      <c r="W5" s="33">
        <v>20</v>
      </c>
      <c r="X5" s="33">
        <v>21</v>
      </c>
      <c r="Y5" s="33">
        <v>22</v>
      </c>
      <c r="Z5" s="33">
        <v>23</v>
      </c>
      <c r="AA5" s="33">
        <v>24</v>
      </c>
      <c r="AB5" s="33">
        <v>25</v>
      </c>
      <c r="AC5" s="33">
        <v>26</v>
      </c>
      <c r="AD5" s="33">
        <v>27</v>
      </c>
      <c r="AE5" s="33">
        <v>28</v>
      </c>
      <c r="AF5" s="33">
        <v>29</v>
      </c>
      <c r="AG5" s="33">
        <v>30</v>
      </c>
      <c r="AH5" s="33">
        <v>31</v>
      </c>
      <c r="AI5" s="32"/>
      <c r="AJ5" s="32"/>
      <c r="AK5" s="88" t="s">
        <v>93</v>
      </c>
      <c r="AL5" s="34" t="s">
        <v>94</v>
      </c>
      <c r="AM5" s="34" t="s">
        <v>95</v>
      </c>
      <c r="AN5" s="34" t="s">
        <v>96</v>
      </c>
      <c r="AO5" s="34" t="s">
        <v>97</v>
      </c>
      <c r="AP5" s="34" t="s">
        <v>98</v>
      </c>
      <c r="AQ5" s="34" t="s">
        <v>99</v>
      </c>
      <c r="AR5" s="34" t="s">
        <v>100</v>
      </c>
      <c r="AS5" s="35" t="s">
        <v>101</v>
      </c>
      <c r="AT5" s="35" t="s">
        <v>102</v>
      </c>
      <c r="AU5" s="35" t="s">
        <v>103</v>
      </c>
      <c r="AV5" s="35" t="s">
        <v>104</v>
      </c>
      <c r="AW5" s="35" t="s">
        <v>105</v>
      </c>
      <c r="AX5" s="35" t="s">
        <v>106</v>
      </c>
      <c r="AY5" s="35" t="s">
        <v>107</v>
      </c>
      <c r="AZ5" s="32"/>
    </row>
    <row r="6" s="6" customFormat="1" ht="25" customHeight="1" spans="1:52">
      <c r="A6" s="36">
        <v>1</v>
      </c>
      <c r="B6" s="37" t="str">
        <f>工资表!B4</f>
        <v>李全伟</v>
      </c>
      <c r="C6" s="38" t="str">
        <f>工资表!C4</f>
        <v>业务支持中心副总经理</v>
      </c>
      <c r="D6" s="39" t="s">
        <v>108</v>
      </c>
      <c r="E6" s="39" t="s">
        <v>108</v>
      </c>
      <c r="F6" s="39" t="s">
        <v>108</v>
      </c>
      <c r="G6" s="39" t="s">
        <v>95</v>
      </c>
      <c r="H6" s="39" t="s">
        <v>95</v>
      </c>
      <c r="I6" s="39" t="s">
        <v>95</v>
      </c>
      <c r="J6" s="39" t="s">
        <v>108</v>
      </c>
      <c r="K6" s="39" t="s">
        <v>108</v>
      </c>
      <c r="L6" s="39" t="s">
        <v>108</v>
      </c>
      <c r="M6" s="39" t="s">
        <v>108</v>
      </c>
      <c r="N6" s="39" t="s">
        <v>95</v>
      </c>
      <c r="O6" s="39" t="s">
        <v>95</v>
      </c>
      <c r="P6" s="39" t="s">
        <v>108</v>
      </c>
      <c r="Q6" s="39" t="s">
        <v>108</v>
      </c>
      <c r="R6" s="39" t="s">
        <v>108</v>
      </c>
      <c r="S6" s="39" t="s">
        <v>108</v>
      </c>
      <c r="T6" s="39" t="s">
        <v>108</v>
      </c>
      <c r="U6" s="39" t="s">
        <v>95</v>
      </c>
      <c r="V6" s="39" t="s">
        <v>95</v>
      </c>
      <c r="W6" s="39" t="s">
        <v>108</v>
      </c>
      <c r="X6" s="39" t="s">
        <v>108</v>
      </c>
      <c r="Y6" s="39" t="s">
        <v>108</v>
      </c>
      <c r="Z6" s="39" t="s">
        <v>108</v>
      </c>
      <c r="AA6" s="39" t="s">
        <v>108</v>
      </c>
      <c r="AB6" s="39" t="s">
        <v>95</v>
      </c>
      <c r="AC6" s="39" t="s">
        <v>95</v>
      </c>
      <c r="AD6" s="39" t="s">
        <v>108</v>
      </c>
      <c r="AE6" s="39" t="s">
        <v>108</v>
      </c>
      <c r="AF6" s="39" t="s">
        <v>108</v>
      </c>
      <c r="AG6" s="39" t="s">
        <v>108</v>
      </c>
      <c r="AH6" s="39"/>
      <c r="AI6" s="36">
        <f t="shared" ref="AI6:AI31" si="0">AK6+AL6+AR6</f>
        <v>21</v>
      </c>
      <c r="AJ6" s="36">
        <f t="shared" ref="AJ6:AJ31" si="1">AM6</f>
        <v>9</v>
      </c>
      <c r="AK6" s="40">
        <f t="shared" ref="AK6:AK31" si="2">COUNTIF($D6:$AH6,"√")</f>
        <v>21</v>
      </c>
      <c r="AL6" s="40">
        <f t="shared" ref="AL6:AL31" si="3">COUNTIF($D6:$AH6,"出差")</f>
        <v>0</v>
      </c>
      <c r="AM6" s="40">
        <f t="shared" ref="AM6:AM31" si="4">COUNTIF($D6:$AH6,"公休")</f>
        <v>9</v>
      </c>
      <c r="AN6" s="40">
        <f t="shared" ref="AN6:AN28" si="5">COUNTIF($D6:$AH6,"病假")</f>
        <v>0</v>
      </c>
      <c r="AO6" s="40">
        <f t="shared" ref="AO6:AO28" si="6">COUNTIF($D6:$AH6,"事假")</f>
        <v>0</v>
      </c>
      <c r="AP6" s="40">
        <f t="shared" ref="AP6:AP28" si="7">COUNTIF($D6:$AH6,"旷工")</f>
        <v>0</v>
      </c>
      <c r="AQ6" s="40">
        <f t="shared" ref="AQ6:AQ28" si="8">COUNTIF($D6:$AH6,"工伤")</f>
        <v>0</v>
      </c>
      <c r="AR6" s="40">
        <f t="shared" ref="AR6:AR28" si="9">COUNTIF($D6:$AH6,"培训")</f>
        <v>0</v>
      </c>
      <c r="AS6" s="40">
        <f t="shared" ref="AS6:AS28" si="10">COUNTIF($D6:$AH6,"冬休")</f>
        <v>0</v>
      </c>
      <c r="AT6" s="40">
        <f t="shared" ref="AT6:AT28" si="11">COUNTIF($D6:$AH6,"休假")</f>
        <v>0</v>
      </c>
      <c r="AU6" s="40">
        <f t="shared" ref="AU6:AU28" si="12">COUNTIF($D6:$AH6,"探亲")</f>
        <v>0</v>
      </c>
      <c r="AV6" s="40">
        <f t="shared" ref="AV6:AV28" si="13">COUNTIF($D6:$AH6,"产假")</f>
        <v>0</v>
      </c>
      <c r="AW6" s="40">
        <f t="shared" ref="AW6:AW28" si="14">COUNTIF($D6:$AH6,"陪护假")</f>
        <v>0</v>
      </c>
      <c r="AX6" s="40">
        <f t="shared" ref="AX6:AX28" si="15">COUNTIF($D6:$AH6,"婚丧假")</f>
        <v>0</v>
      </c>
      <c r="AY6" s="40">
        <f t="shared" ref="AY6:AY28" si="16">COUNTIF($D6:$AH6,"待岗")</f>
        <v>0</v>
      </c>
      <c r="AZ6" s="41"/>
    </row>
    <row r="7" s="6" customFormat="1" ht="25" customHeight="1" spans="1:52">
      <c r="A7" s="36">
        <v>2</v>
      </c>
      <c r="B7" s="37" t="str">
        <f>工资表!B5</f>
        <v>杨文杰</v>
      </c>
      <c r="C7" s="38" t="str">
        <f>工资表!C5</f>
        <v>工程管理部副经理</v>
      </c>
      <c r="D7" s="39" t="s">
        <v>108</v>
      </c>
      <c r="E7" s="39" t="s">
        <v>108</v>
      </c>
      <c r="F7" s="39" t="s">
        <v>108</v>
      </c>
      <c r="G7" s="39" t="s">
        <v>95</v>
      </c>
      <c r="H7" s="39" t="s">
        <v>95</v>
      </c>
      <c r="I7" s="39" t="s">
        <v>95</v>
      </c>
      <c r="J7" s="39" t="s">
        <v>108</v>
      </c>
      <c r="K7" s="39" t="s">
        <v>108</v>
      </c>
      <c r="L7" s="39" t="s">
        <v>108</v>
      </c>
      <c r="M7" s="39" t="s">
        <v>108</v>
      </c>
      <c r="N7" s="39" t="s">
        <v>95</v>
      </c>
      <c r="O7" s="39" t="s">
        <v>95</v>
      </c>
      <c r="P7" s="39" t="s">
        <v>108</v>
      </c>
      <c r="Q7" s="39" t="s">
        <v>108</v>
      </c>
      <c r="R7" s="39" t="s">
        <v>108</v>
      </c>
      <c r="S7" s="39" t="s">
        <v>108</v>
      </c>
      <c r="T7" s="39" t="s">
        <v>108</v>
      </c>
      <c r="U7" s="39" t="s">
        <v>95</v>
      </c>
      <c r="V7" s="39" t="s">
        <v>95</v>
      </c>
      <c r="W7" s="39" t="s">
        <v>108</v>
      </c>
      <c r="X7" s="39" t="s">
        <v>108</v>
      </c>
      <c r="Y7" s="39" t="s">
        <v>108</v>
      </c>
      <c r="Z7" s="39" t="s">
        <v>108</v>
      </c>
      <c r="AA7" s="39" t="s">
        <v>108</v>
      </c>
      <c r="AB7" s="39" t="s">
        <v>95</v>
      </c>
      <c r="AC7" s="39" t="s">
        <v>95</v>
      </c>
      <c r="AD7" s="39" t="s">
        <v>108</v>
      </c>
      <c r="AE7" s="39" t="s">
        <v>108</v>
      </c>
      <c r="AF7" s="39" t="s">
        <v>108</v>
      </c>
      <c r="AG7" s="39" t="s">
        <v>108</v>
      </c>
      <c r="AH7" s="39"/>
      <c r="AI7" s="36">
        <f t="shared" si="0"/>
        <v>21</v>
      </c>
      <c r="AJ7" s="36">
        <f t="shared" si="1"/>
        <v>9</v>
      </c>
      <c r="AK7" s="40">
        <f t="shared" si="2"/>
        <v>21</v>
      </c>
      <c r="AL7" s="40">
        <f t="shared" si="3"/>
        <v>0</v>
      </c>
      <c r="AM7" s="40">
        <f t="shared" si="4"/>
        <v>9</v>
      </c>
      <c r="AN7" s="40">
        <f t="shared" si="5"/>
        <v>0</v>
      </c>
      <c r="AO7" s="40">
        <f t="shared" si="6"/>
        <v>0</v>
      </c>
      <c r="AP7" s="40">
        <f t="shared" si="7"/>
        <v>0</v>
      </c>
      <c r="AQ7" s="40">
        <f t="shared" si="8"/>
        <v>0</v>
      </c>
      <c r="AR7" s="40">
        <f t="shared" si="9"/>
        <v>0</v>
      </c>
      <c r="AS7" s="40">
        <f t="shared" si="10"/>
        <v>0</v>
      </c>
      <c r="AT7" s="40">
        <f t="shared" si="11"/>
        <v>0</v>
      </c>
      <c r="AU7" s="40">
        <f t="shared" si="12"/>
        <v>0</v>
      </c>
      <c r="AV7" s="40">
        <f t="shared" si="13"/>
        <v>0</v>
      </c>
      <c r="AW7" s="40">
        <f t="shared" si="14"/>
        <v>0</v>
      </c>
      <c r="AX7" s="40">
        <f t="shared" si="15"/>
        <v>0</v>
      </c>
      <c r="AY7" s="40">
        <f t="shared" si="16"/>
        <v>0</v>
      </c>
      <c r="AZ7" s="41"/>
    </row>
    <row r="8" s="6" customFormat="1" ht="25" customHeight="1" spans="1:52">
      <c r="A8" s="36">
        <v>3</v>
      </c>
      <c r="B8" s="37" t="str">
        <f>工资表!B6</f>
        <v>管锡哲</v>
      </c>
      <c r="C8" s="38" t="str">
        <f>工资表!C6</f>
        <v>工程主管</v>
      </c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6">
        <f t="shared" si="0"/>
        <v>0</v>
      </c>
      <c r="AJ8" s="36">
        <f t="shared" si="1"/>
        <v>0</v>
      </c>
      <c r="AK8" s="40">
        <f t="shared" si="2"/>
        <v>0</v>
      </c>
      <c r="AL8" s="40">
        <f t="shared" si="3"/>
        <v>0</v>
      </c>
      <c r="AM8" s="40">
        <f t="shared" si="4"/>
        <v>0</v>
      </c>
      <c r="AN8" s="40">
        <f t="shared" si="5"/>
        <v>0</v>
      </c>
      <c r="AO8" s="40">
        <f t="shared" si="6"/>
        <v>0</v>
      </c>
      <c r="AP8" s="40">
        <f t="shared" si="7"/>
        <v>0</v>
      </c>
      <c r="AQ8" s="40">
        <f t="shared" si="8"/>
        <v>0</v>
      </c>
      <c r="AR8" s="40">
        <f t="shared" si="9"/>
        <v>0</v>
      </c>
      <c r="AS8" s="40">
        <f t="shared" si="10"/>
        <v>0</v>
      </c>
      <c r="AT8" s="40">
        <f t="shared" si="11"/>
        <v>0</v>
      </c>
      <c r="AU8" s="40">
        <f t="shared" si="12"/>
        <v>0</v>
      </c>
      <c r="AV8" s="40">
        <f t="shared" si="13"/>
        <v>0</v>
      </c>
      <c r="AW8" s="40">
        <f t="shared" si="14"/>
        <v>0</v>
      </c>
      <c r="AX8" s="40">
        <f t="shared" si="15"/>
        <v>0</v>
      </c>
      <c r="AY8" s="40">
        <f t="shared" si="16"/>
        <v>0</v>
      </c>
      <c r="AZ8" s="41"/>
    </row>
    <row r="9" s="6" customFormat="1" ht="25" customHeight="1" spans="1:52">
      <c r="A9" s="36">
        <v>4</v>
      </c>
      <c r="B9" s="37" t="str">
        <f>工资表!B7</f>
        <v>徐惠蓉</v>
      </c>
      <c r="C9" s="38" t="str">
        <f>工资表!C7</f>
        <v>投资开发部副经理</v>
      </c>
      <c r="D9" s="39" t="s">
        <v>108</v>
      </c>
      <c r="E9" s="39" t="s">
        <v>108</v>
      </c>
      <c r="F9" s="39" t="s">
        <v>108</v>
      </c>
      <c r="G9" s="39" t="s">
        <v>95</v>
      </c>
      <c r="H9" s="39" t="s">
        <v>95</v>
      </c>
      <c r="I9" s="39" t="s">
        <v>95</v>
      </c>
      <c r="J9" s="39" t="s">
        <v>108</v>
      </c>
      <c r="K9" s="39" t="s">
        <v>108</v>
      </c>
      <c r="L9" s="39" t="s">
        <v>108</v>
      </c>
      <c r="M9" s="39" t="s">
        <v>108</v>
      </c>
      <c r="N9" s="39" t="s">
        <v>95</v>
      </c>
      <c r="O9" s="39" t="s">
        <v>95</v>
      </c>
      <c r="P9" s="39" t="s">
        <v>108</v>
      </c>
      <c r="Q9" s="39" t="s">
        <v>108</v>
      </c>
      <c r="R9" s="39" t="s">
        <v>108</v>
      </c>
      <c r="S9" s="39" t="s">
        <v>108</v>
      </c>
      <c r="T9" s="39" t="s">
        <v>108</v>
      </c>
      <c r="U9" s="39" t="s">
        <v>95</v>
      </c>
      <c r="V9" s="39" t="s">
        <v>95</v>
      </c>
      <c r="W9" s="39" t="s">
        <v>108</v>
      </c>
      <c r="X9" s="39" t="s">
        <v>108</v>
      </c>
      <c r="Y9" s="39" t="s">
        <v>108</v>
      </c>
      <c r="Z9" s="39" t="s">
        <v>108</v>
      </c>
      <c r="AA9" s="39" t="s">
        <v>108</v>
      </c>
      <c r="AB9" s="39" t="s">
        <v>95</v>
      </c>
      <c r="AC9" s="39" t="s">
        <v>95</v>
      </c>
      <c r="AD9" s="39" t="s">
        <v>108</v>
      </c>
      <c r="AE9" s="39" t="s">
        <v>108</v>
      </c>
      <c r="AF9" s="39" t="s">
        <v>108</v>
      </c>
      <c r="AG9" s="39" t="s">
        <v>108</v>
      </c>
      <c r="AH9" s="39"/>
      <c r="AI9" s="36">
        <f t="shared" si="0"/>
        <v>21</v>
      </c>
      <c r="AJ9" s="36">
        <f t="shared" si="1"/>
        <v>9</v>
      </c>
      <c r="AK9" s="40">
        <f t="shared" si="2"/>
        <v>21</v>
      </c>
      <c r="AL9" s="40">
        <f t="shared" si="3"/>
        <v>0</v>
      </c>
      <c r="AM9" s="40">
        <f t="shared" si="4"/>
        <v>9</v>
      </c>
      <c r="AN9" s="40">
        <f t="shared" si="5"/>
        <v>0</v>
      </c>
      <c r="AO9" s="40">
        <f t="shared" si="6"/>
        <v>0</v>
      </c>
      <c r="AP9" s="40">
        <f t="shared" si="7"/>
        <v>0</v>
      </c>
      <c r="AQ9" s="40">
        <f t="shared" si="8"/>
        <v>0</v>
      </c>
      <c r="AR9" s="40">
        <f t="shared" si="9"/>
        <v>0</v>
      </c>
      <c r="AS9" s="40">
        <f t="shared" si="10"/>
        <v>0</v>
      </c>
      <c r="AT9" s="40">
        <f t="shared" si="11"/>
        <v>0</v>
      </c>
      <c r="AU9" s="40">
        <f t="shared" si="12"/>
        <v>0</v>
      </c>
      <c r="AV9" s="40">
        <f t="shared" si="13"/>
        <v>0</v>
      </c>
      <c r="AW9" s="40">
        <f t="shared" si="14"/>
        <v>0</v>
      </c>
      <c r="AX9" s="40">
        <f t="shared" si="15"/>
        <v>0</v>
      </c>
      <c r="AY9" s="40">
        <f t="shared" si="16"/>
        <v>0</v>
      </c>
      <c r="AZ9" s="41"/>
    </row>
    <row r="10" s="6" customFormat="1" ht="25" customHeight="1" spans="1:52">
      <c r="A10" s="36">
        <v>5</v>
      </c>
      <c r="B10" s="37" t="str">
        <f>工资表!B8</f>
        <v>沈陈瑾慧</v>
      </c>
      <c r="C10" s="38" t="str">
        <f>工资表!C8</f>
        <v>会计</v>
      </c>
      <c r="D10" s="39" t="s">
        <v>108</v>
      </c>
      <c r="E10" s="39" t="s">
        <v>108</v>
      </c>
      <c r="F10" s="39" t="s">
        <v>108</v>
      </c>
      <c r="G10" s="39" t="s">
        <v>95</v>
      </c>
      <c r="H10" s="39" t="s">
        <v>95</v>
      </c>
      <c r="I10" s="39" t="s">
        <v>95</v>
      </c>
      <c r="J10" s="39" t="s">
        <v>108</v>
      </c>
      <c r="K10" s="39" t="s">
        <v>108</v>
      </c>
      <c r="L10" s="39" t="s">
        <v>108</v>
      </c>
      <c r="M10" s="39" t="s">
        <v>108</v>
      </c>
      <c r="N10" s="39" t="s">
        <v>95</v>
      </c>
      <c r="O10" s="39" t="s">
        <v>95</v>
      </c>
      <c r="P10" s="39" t="s">
        <v>108</v>
      </c>
      <c r="Q10" s="39" t="s">
        <v>108</v>
      </c>
      <c r="R10" s="39" t="s">
        <v>108</v>
      </c>
      <c r="S10" s="39" t="s">
        <v>108</v>
      </c>
      <c r="T10" s="39" t="s">
        <v>108</v>
      </c>
      <c r="U10" s="39" t="s">
        <v>95</v>
      </c>
      <c r="V10" s="39" t="s">
        <v>95</v>
      </c>
      <c r="W10" s="39" t="s">
        <v>108</v>
      </c>
      <c r="X10" s="39" t="s">
        <v>108</v>
      </c>
      <c r="Y10" s="39" t="s">
        <v>108</v>
      </c>
      <c r="Z10" s="39" t="s">
        <v>108</v>
      </c>
      <c r="AA10" s="39" t="s">
        <v>108</v>
      </c>
      <c r="AB10" s="39" t="s">
        <v>95</v>
      </c>
      <c r="AC10" s="39" t="s">
        <v>95</v>
      </c>
      <c r="AD10" s="39" t="s">
        <v>108</v>
      </c>
      <c r="AE10" s="39" t="s">
        <v>108</v>
      </c>
      <c r="AF10" s="39" t="s">
        <v>108</v>
      </c>
      <c r="AG10" s="39" t="s">
        <v>108</v>
      </c>
      <c r="AH10" s="39"/>
      <c r="AI10" s="36">
        <f t="shared" si="0"/>
        <v>21</v>
      </c>
      <c r="AJ10" s="36">
        <f t="shared" si="1"/>
        <v>9</v>
      </c>
      <c r="AK10" s="40">
        <f t="shared" si="2"/>
        <v>21</v>
      </c>
      <c r="AL10" s="40">
        <f t="shared" si="3"/>
        <v>0</v>
      </c>
      <c r="AM10" s="40">
        <f t="shared" si="4"/>
        <v>9</v>
      </c>
      <c r="AN10" s="40">
        <f t="shared" si="5"/>
        <v>0</v>
      </c>
      <c r="AO10" s="40">
        <f t="shared" si="6"/>
        <v>0</v>
      </c>
      <c r="AP10" s="40">
        <f t="shared" si="7"/>
        <v>0</v>
      </c>
      <c r="AQ10" s="40">
        <f t="shared" si="8"/>
        <v>0</v>
      </c>
      <c r="AR10" s="40">
        <f t="shared" si="9"/>
        <v>0</v>
      </c>
      <c r="AS10" s="40">
        <f t="shared" si="10"/>
        <v>0</v>
      </c>
      <c r="AT10" s="40">
        <f t="shared" si="11"/>
        <v>0</v>
      </c>
      <c r="AU10" s="40">
        <f t="shared" si="12"/>
        <v>0</v>
      </c>
      <c r="AV10" s="40">
        <f t="shared" si="13"/>
        <v>0</v>
      </c>
      <c r="AW10" s="40">
        <f t="shared" si="14"/>
        <v>0</v>
      </c>
      <c r="AX10" s="40"/>
      <c r="AY10" s="40">
        <f t="shared" si="16"/>
        <v>0</v>
      </c>
      <c r="AZ10" s="41"/>
    </row>
    <row r="11" s="6" customFormat="1" ht="25" customHeight="1" spans="1:52">
      <c r="A11" s="36">
        <v>6</v>
      </c>
      <c r="B11" s="37" t="str">
        <f>工资表!B9</f>
        <v>管丽萍</v>
      </c>
      <c r="C11" s="38" t="str">
        <f>工资表!C9</f>
        <v>人事运营</v>
      </c>
      <c r="D11" s="39" t="s">
        <v>108</v>
      </c>
      <c r="E11" s="39" t="s">
        <v>108</v>
      </c>
      <c r="F11" s="39" t="s">
        <v>108</v>
      </c>
      <c r="G11" s="39" t="s">
        <v>95</v>
      </c>
      <c r="H11" s="39" t="s">
        <v>95</v>
      </c>
      <c r="I11" s="39" t="s">
        <v>95</v>
      </c>
      <c r="J11" s="39" t="s">
        <v>108</v>
      </c>
      <c r="K11" s="39" t="s">
        <v>108</v>
      </c>
      <c r="L11" s="39" t="s">
        <v>108</v>
      </c>
      <c r="M11" s="39" t="s">
        <v>108</v>
      </c>
      <c r="N11" s="39" t="s">
        <v>95</v>
      </c>
      <c r="O11" s="39" t="s">
        <v>95</v>
      </c>
      <c r="P11" s="39" t="s">
        <v>108</v>
      </c>
      <c r="Q11" s="39" t="s">
        <v>108</v>
      </c>
      <c r="R11" s="39" t="s">
        <v>108</v>
      </c>
      <c r="S11" s="39" t="s">
        <v>108</v>
      </c>
      <c r="T11" s="39" t="s">
        <v>108</v>
      </c>
      <c r="U11" s="39" t="s">
        <v>95</v>
      </c>
      <c r="V11" s="39" t="s">
        <v>95</v>
      </c>
      <c r="W11" s="39" t="s">
        <v>108</v>
      </c>
      <c r="X11" s="39" t="s">
        <v>108</v>
      </c>
      <c r="Y11" s="39" t="s">
        <v>108</v>
      </c>
      <c r="Z11" s="39" t="s">
        <v>108</v>
      </c>
      <c r="AA11" s="39" t="s">
        <v>108</v>
      </c>
      <c r="AB11" s="39" t="s">
        <v>95</v>
      </c>
      <c r="AC11" s="39" t="s">
        <v>95</v>
      </c>
      <c r="AD11" s="39" t="s">
        <v>108</v>
      </c>
      <c r="AE11" s="39" t="s">
        <v>108</v>
      </c>
      <c r="AF11" s="39" t="s">
        <v>108</v>
      </c>
      <c r="AG11" s="39" t="s">
        <v>108</v>
      </c>
      <c r="AH11" s="39"/>
      <c r="AI11" s="36">
        <f t="shared" si="0"/>
        <v>21</v>
      </c>
      <c r="AJ11" s="36">
        <f t="shared" si="1"/>
        <v>9</v>
      </c>
      <c r="AK11" s="40">
        <f t="shared" si="2"/>
        <v>21</v>
      </c>
      <c r="AL11" s="40">
        <f t="shared" si="3"/>
        <v>0</v>
      </c>
      <c r="AM11" s="40">
        <f t="shared" si="4"/>
        <v>9</v>
      </c>
      <c r="AN11" s="40">
        <f t="shared" si="5"/>
        <v>0</v>
      </c>
      <c r="AO11" s="40">
        <f t="shared" si="6"/>
        <v>0</v>
      </c>
      <c r="AP11" s="40">
        <f t="shared" si="7"/>
        <v>0</v>
      </c>
      <c r="AQ11" s="40">
        <f t="shared" si="8"/>
        <v>0</v>
      </c>
      <c r="AR11" s="40">
        <f t="shared" si="9"/>
        <v>0</v>
      </c>
      <c r="AS11" s="40">
        <f t="shared" si="10"/>
        <v>0</v>
      </c>
      <c r="AT11" s="40">
        <f t="shared" si="11"/>
        <v>0</v>
      </c>
      <c r="AU11" s="40">
        <f t="shared" si="12"/>
        <v>0</v>
      </c>
      <c r="AV11" s="40">
        <f t="shared" si="13"/>
        <v>0</v>
      </c>
      <c r="AW11" s="40">
        <f t="shared" si="14"/>
        <v>0</v>
      </c>
      <c r="AX11" s="40">
        <f t="shared" si="15"/>
        <v>0</v>
      </c>
      <c r="AY11" s="40">
        <f t="shared" si="16"/>
        <v>0</v>
      </c>
      <c r="AZ11" s="41"/>
    </row>
    <row r="12" s="6" customFormat="1" ht="25" customHeight="1" spans="1:52">
      <c r="A12" s="36">
        <v>7</v>
      </c>
      <c r="B12" s="37" t="str">
        <f>工资表!B10</f>
        <v>刘科</v>
      </c>
      <c r="C12" s="38" t="str">
        <f>工资表!C10</f>
        <v>招采工程师</v>
      </c>
      <c r="D12" s="39" t="s">
        <v>108</v>
      </c>
      <c r="E12" s="39" t="s">
        <v>108</v>
      </c>
      <c r="F12" s="39" t="s">
        <v>108</v>
      </c>
      <c r="G12" s="39" t="s">
        <v>95</v>
      </c>
      <c r="H12" s="39" t="s">
        <v>95</v>
      </c>
      <c r="I12" s="39" t="s">
        <v>95</v>
      </c>
      <c r="J12" s="39" t="s">
        <v>108</v>
      </c>
      <c r="K12" s="39" t="s">
        <v>108</v>
      </c>
      <c r="L12" s="39" t="s">
        <v>108</v>
      </c>
      <c r="M12" s="39" t="s">
        <v>108</v>
      </c>
      <c r="N12" s="39" t="s">
        <v>95</v>
      </c>
      <c r="O12" s="39" t="s">
        <v>95</v>
      </c>
      <c r="P12" s="39" t="s">
        <v>108</v>
      </c>
      <c r="Q12" s="39" t="s">
        <v>108</v>
      </c>
      <c r="R12" s="39" t="s">
        <v>108</v>
      </c>
      <c r="S12" s="39" t="s">
        <v>108</v>
      </c>
      <c r="T12" s="39" t="s">
        <v>108</v>
      </c>
      <c r="U12" s="39" t="s">
        <v>95</v>
      </c>
      <c r="V12" s="39" t="s">
        <v>95</v>
      </c>
      <c r="W12" s="39" t="s">
        <v>108</v>
      </c>
      <c r="X12" s="39" t="s">
        <v>108</v>
      </c>
      <c r="Y12" s="39" t="s">
        <v>108</v>
      </c>
      <c r="Z12" s="39" t="s">
        <v>108</v>
      </c>
      <c r="AA12" s="39" t="s">
        <v>108</v>
      </c>
      <c r="AB12" s="39" t="s">
        <v>95</v>
      </c>
      <c r="AC12" s="39" t="s">
        <v>95</v>
      </c>
      <c r="AD12" s="39" t="s">
        <v>108</v>
      </c>
      <c r="AE12" s="39" t="s">
        <v>108</v>
      </c>
      <c r="AF12" s="39" t="s">
        <v>108</v>
      </c>
      <c r="AG12" s="39" t="s">
        <v>108</v>
      </c>
      <c r="AH12" s="39"/>
      <c r="AI12" s="36">
        <f t="shared" si="0"/>
        <v>21</v>
      </c>
      <c r="AJ12" s="36">
        <f t="shared" si="1"/>
        <v>9</v>
      </c>
      <c r="AK12" s="40">
        <f t="shared" si="2"/>
        <v>21</v>
      </c>
      <c r="AL12" s="40">
        <f t="shared" si="3"/>
        <v>0</v>
      </c>
      <c r="AM12" s="40">
        <f t="shared" si="4"/>
        <v>9</v>
      </c>
      <c r="AN12" s="40">
        <f t="shared" si="5"/>
        <v>0</v>
      </c>
      <c r="AO12" s="40">
        <f t="shared" si="6"/>
        <v>0</v>
      </c>
      <c r="AP12" s="40">
        <f t="shared" si="7"/>
        <v>0</v>
      </c>
      <c r="AQ12" s="40">
        <f t="shared" si="8"/>
        <v>0</v>
      </c>
      <c r="AR12" s="40">
        <f t="shared" si="9"/>
        <v>0</v>
      </c>
      <c r="AS12" s="40">
        <f t="shared" si="10"/>
        <v>0</v>
      </c>
      <c r="AT12" s="40">
        <f t="shared" si="11"/>
        <v>0</v>
      </c>
      <c r="AU12" s="40">
        <f t="shared" si="12"/>
        <v>0</v>
      </c>
      <c r="AV12" s="40">
        <f t="shared" si="13"/>
        <v>0</v>
      </c>
      <c r="AW12" s="40">
        <f t="shared" si="14"/>
        <v>0</v>
      </c>
      <c r="AX12" s="40">
        <f t="shared" si="15"/>
        <v>0</v>
      </c>
      <c r="AY12" s="40">
        <f t="shared" si="16"/>
        <v>0</v>
      </c>
      <c r="AZ12" s="41"/>
    </row>
    <row r="13" s="6" customFormat="1" ht="25" customHeight="1" spans="1:52">
      <c r="A13" s="36">
        <v>8</v>
      </c>
      <c r="B13" s="37" t="str">
        <f>工资表!B11</f>
        <v>高建梅</v>
      </c>
      <c r="C13" s="38" t="str">
        <f>工资表!C11</f>
        <v>出纳</v>
      </c>
      <c r="D13" s="39" t="s">
        <v>108</v>
      </c>
      <c r="E13" s="39" t="s">
        <v>108</v>
      </c>
      <c r="F13" s="39" t="s">
        <v>108</v>
      </c>
      <c r="G13" s="39" t="s">
        <v>95</v>
      </c>
      <c r="H13" s="39" t="s">
        <v>95</v>
      </c>
      <c r="I13" s="39" t="s">
        <v>95</v>
      </c>
      <c r="J13" s="39" t="s">
        <v>108</v>
      </c>
      <c r="K13" s="39" t="s">
        <v>108</v>
      </c>
      <c r="L13" s="39" t="s">
        <v>108</v>
      </c>
      <c r="M13" s="39" t="s">
        <v>108</v>
      </c>
      <c r="N13" s="39" t="s">
        <v>95</v>
      </c>
      <c r="O13" s="39" t="s">
        <v>95</v>
      </c>
      <c r="P13" s="39" t="s">
        <v>108</v>
      </c>
      <c r="Q13" s="39" t="s">
        <v>108</v>
      </c>
      <c r="R13" s="39" t="s">
        <v>108</v>
      </c>
      <c r="S13" s="39" t="s">
        <v>108</v>
      </c>
      <c r="T13" s="39" t="s">
        <v>108</v>
      </c>
      <c r="U13" s="39" t="s">
        <v>95</v>
      </c>
      <c r="V13" s="39" t="s">
        <v>95</v>
      </c>
      <c r="W13" s="39" t="s">
        <v>108</v>
      </c>
      <c r="X13" s="39" t="s">
        <v>108</v>
      </c>
      <c r="Y13" s="39" t="s">
        <v>108</v>
      </c>
      <c r="Z13" s="39" t="s">
        <v>108</v>
      </c>
      <c r="AA13" s="39" t="s">
        <v>108</v>
      </c>
      <c r="AB13" s="39" t="s">
        <v>95</v>
      </c>
      <c r="AC13" s="39" t="s">
        <v>95</v>
      </c>
      <c r="AD13" s="39" t="s">
        <v>108</v>
      </c>
      <c r="AE13" s="39" t="s">
        <v>108</v>
      </c>
      <c r="AF13" s="39" t="s">
        <v>108</v>
      </c>
      <c r="AG13" s="39" t="s">
        <v>108</v>
      </c>
      <c r="AH13" s="39"/>
      <c r="AI13" s="36">
        <f t="shared" si="0"/>
        <v>21</v>
      </c>
      <c r="AJ13" s="36">
        <f t="shared" si="1"/>
        <v>9</v>
      </c>
      <c r="AK13" s="40">
        <f t="shared" si="2"/>
        <v>21</v>
      </c>
      <c r="AL13" s="40">
        <f t="shared" si="3"/>
        <v>0</v>
      </c>
      <c r="AM13" s="40">
        <f t="shared" si="4"/>
        <v>9</v>
      </c>
      <c r="AN13" s="40">
        <f t="shared" si="5"/>
        <v>0</v>
      </c>
      <c r="AO13" s="40">
        <f t="shared" si="6"/>
        <v>0</v>
      </c>
      <c r="AP13" s="40">
        <f t="shared" si="7"/>
        <v>0</v>
      </c>
      <c r="AQ13" s="40">
        <f t="shared" si="8"/>
        <v>0</v>
      </c>
      <c r="AR13" s="40">
        <f t="shared" si="9"/>
        <v>0</v>
      </c>
      <c r="AS13" s="40">
        <f t="shared" si="10"/>
        <v>0</v>
      </c>
      <c r="AT13" s="40">
        <f t="shared" si="11"/>
        <v>0</v>
      </c>
      <c r="AU13" s="40">
        <f t="shared" si="12"/>
        <v>0</v>
      </c>
      <c r="AV13" s="40">
        <f t="shared" si="13"/>
        <v>0</v>
      </c>
      <c r="AW13" s="40">
        <f t="shared" si="14"/>
        <v>0</v>
      </c>
      <c r="AX13" s="40">
        <f t="shared" si="15"/>
        <v>0</v>
      </c>
      <c r="AY13" s="40">
        <f t="shared" si="16"/>
        <v>0</v>
      </c>
      <c r="AZ13" s="41"/>
    </row>
    <row r="14" s="6" customFormat="1" ht="25" customHeight="1" spans="1:52">
      <c r="A14" s="36">
        <v>9</v>
      </c>
      <c r="B14" s="37" t="str">
        <f>工资表!B12</f>
        <v>周佳奇</v>
      </c>
      <c r="C14" s="38" t="str">
        <f>工资表!C12</f>
        <v>造价工程师</v>
      </c>
      <c r="D14" s="39" t="s">
        <v>108</v>
      </c>
      <c r="E14" s="39" t="s">
        <v>108</v>
      </c>
      <c r="F14" s="39" t="s">
        <v>108</v>
      </c>
      <c r="G14" s="39" t="s">
        <v>95</v>
      </c>
      <c r="H14" s="39" t="s">
        <v>95</v>
      </c>
      <c r="I14" s="39" t="s">
        <v>95</v>
      </c>
      <c r="J14" s="39" t="s">
        <v>108</v>
      </c>
      <c r="K14" s="39" t="s">
        <v>108</v>
      </c>
      <c r="L14" s="39" t="s">
        <v>108</v>
      </c>
      <c r="M14" s="39" t="s">
        <v>108</v>
      </c>
      <c r="N14" s="39" t="s">
        <v>95</v>
      </c>
      <c r="O14" s="39" t="s">
        <v>95</v>
      </c>
      <c r="P14" s="39" t="s">
        <v>108</v>
      </c>
      <c r="Q14" s="39" t="s">
        <v>108</v>
      </c>
      <c r="R14" s="39" t="s">
        <v>108</v>
      </c>
      <c r="S14" s="39" t="s">
        <v>108</v>
      </c>
      <c r="T14" s="39" t="s">
        <v>108</v>
      </c>
      <c r="U14" s="39" t="s">
        <v>95</v>
      </c>
      <c r="V14" s="39" t="s">
        <v>95</v>
      </c>
      <c r="W14" s="39" t="s">
        <v>108</v>
      </c>
      <c r="X14" s="39" t="s">
        <v>108</v>
      </c>
      <c r="Y14" s="39" t="s">
        <v>108</v>
      </c>
      <c r="Z14" s="39" t="s">
        <v>108</v>
      </c>
      <c r="AA14" s="39" t="s">
        <v>108</v>
      </c>
      <c r="AB14" s="39" t="s">
        <v>95</v>
      </c>
      <c r="AC14" s="39" t="s">
        <v>95</v>
      </c>
      <c r="AD14" s="39" t="s">
        <v>108</v>
      </c>
      <c r="AE14" s="39" t="s">
        <v>108</v>
      </c>
      <c r="AF14" s="39" t="s">
        <v>108</v>
      </c>
      <c r="AG14" s="39" t="s">
        <v>108</v>
      </c>
      <c r="AH14" s="39"/>
      <c r="AI14" s="36">
        <f t="shared" si="0"/>
        <v>21</v>
      </c>
      <c r="AJ14" s="36">
        <f t="shared" si="1"/>
        <v>9</v>
      </c>
      <c r="AK14" s="40">
        <f t="shared" si="2"/>
        <v>21</v>
      </c>
      <c r="AL14" s="40">
        <f t="shared" si="3"/>
        <v>0</v>
      </c>
      <c r="AM14" s="40">
        <f t="shared" si="4"/>
        <v>9</v>
      </c>
      <c r="AN14" s="40">
        <f t="shared" si="5"/>
        <v>0</v>
      </c>
      <c r="AO14" s="40">
        <f t="shared" si="6"/>
        <v>0</v>
      </c>
      <c r="AP14" s="40">
        <f t="shared" si="7"/>
        <v>0</v>
      </c>
      <c r="AQ14" s="40">
        <f t="shared" si="8"/>
        <v>0</v>
      </c>
      <c r="AR14" s="40">
        <f t="shared" si="9"/>
        <v>0</v>
      </c>
      <c r="AS14" s="40">
        <f t="shared" si="10"/>
        <v>0</v>
      </c>
      <c r="AT14" s="40">
        <f t="shared" si="11"/>
        <v>0</v>
      </c>
      <c r="AU14" s="40">
        <f t="shared" si="12"/>
        <v>0</v>
      </c>
      <c r="AV14" s="40">
        <f t="shared" si="13"/>
        <v>0</v>
      </c>
      <c r="AW14" s="40">
        <f t="shared" si="14"/>
        <v>0</v>
      </c>
      <c r="AX14" s="40">
        <f t="shared" si="15"/>
        <v>0</v>
      </c>
      <c r="AY14" s="40">
        <f t="shared" si="16"/>
        <v>0</v>
      </c>
      <c r="AZ14" s="41"/>
    </row>
    <row r="15" s="6" customFormat="1" ht="25" customHeight="1" spans="1:52">
      <c r="A15" s="36">
        <v>10</v>
      </c>
      <c r="B15" s="37" t="str">
        <f>工资表!B13</f>
        <v>白媛媛</v>
      </c>
      <c r="C15" s="38" t="str">
        <f>工资表!C13</f>
        <v>开发报建工程师</v>
      </c>
      <c r="D15" s="39" t="s">
        <v>108</v>
      </c>
      <c r="E15" s="39" t="s">
        <v>108</v>
      </c>
      <c r="F15" s="39" t="s">
        <v>108</v>
      </c>
      <c r="G15" s="39" t="s">
        <v>95</v>
      </c>
      <c r="H15" s="39" t="s">
        <v>95</v>
      </c>
      <c r="I15" s="39" t="s">
        <v>95</v>
      </c>
      <c r="J15" s="39" t="s">
        <v>108</v>
      </c>
      <c r="K15" s="39" t="s">
        <v>108</v>
      </c>
      <c r="L15" s="39" t="s">
        <v>108</v>
      </c>
      <c r="M15" s="39" t="s">
        <v>108</v>
      </c>
      <c r="N15" s="39" t="s">
        <v>95</v>
      </c>
      <c r="O15" s="39" t="s">
        <v>95</v>
      </c>
      <c r="P15" s="39" t="s">
        <v>108</v>
      </c>
      <c r="Q15" s="39" t="s">
        <v>108</v>
      </c>
      <c r="R15" s="39" t="s">
        <v>108</v>
      </c>
      <c r="S15" s="39" t="s">
        <v>108</v>
      </c>
      <c r="T15" s="39" t="s">
        <v>108</v>
      </c>
      <c r="U15" s="39" t="s">
        <v>95</v>
      </c>
      <c r="V15" s="39" t="s">
        <v>95</v>
      </c>
      <c r="W15" s="39" t="s">
        <v>108</v>
      </c>
      <c r="X15" s="39" t="s">
        <v>108</v>
      </c>
      <c r="Y15" s="39" t="s">
        <v>108</v>
      </c>
      <c r="Z15" s="39" t="s">
        <v>108</v>
      </c>
      <c r="AA15" s="39" t="s">
        <v>108</v>
      </c>
      <c r="AB15" s="39" t="s">
        <v>95</v>
      </c>
      <c r="AC15" s="39" t="s">
        <v>95</v>
      </c>
      <c r="AD15" s="39" t="s">
        <v>108</v>
      </c>
      <c r="AE15" s="39" t="s">
        <v>108</v>
      </c>
      <c r="AF15" s="39" t="s">
        <v>108</v>
      </c>
      <c r="AG15" s="39" t="s">
        <v>108</v>
      </c>
      <c r="AH15" s="39"/>
      <c r="AI15" s="36">
        <f t="shared" si="0"/>
        <v>21</v>
      </c>
      <c r="AJ15" s="36">
        <f t="shared" si="1"/>
        <v>9</v>
      </c>
      <c r="AK15" s="40">
        <f t="shared" si="2"/>
        <v>21</v>
      </c>
      <c r="AL15" s="40">
        <f t="shared" si="3"/>
        <v>0</v>
      </c>
      <c r="AM15" s="40">
        <f t="shared" si="4"/>
        <v>9</v>
      </c>
      <c r="AN15" s="40">
        <f t="shared" si="5"/>
        <v>0</v>
      </c>
      <c r="AO15" s="40">
        <f t="shared" si="6"/>
        <v>0</v>
      </c>
      <c r="AP15" s="40">
        <f t="shared" si="7"/>
        <v>0</v>
      </c>
      <c r="AQ15" s="40">
        <f t="shared" si="8"/>
        <v>0</v>
      </c>
      <c r="AR15" s="40">
        <f t="shared" si="9"/>
        <v>0</v>
      </c>
      <c r="AS15" s="40">
        <f t="shared" si="10"/>
        <v>0</v>
      </c>
      <c r="AT15" s="40">
        <f t="shared" si="11"/>
        <v>0</v>
      </c>
      <c r="AU15" s="40">
        <f t="shared" si="12"/>
        <v>0</v>
      </c>
      <c r="AV15" s="40">
        <f t="shared" si="13"/>
        <v>0</v>
      </c>
      <c r="AW15" s="40">
        <f t="shared" si="14"/>
        <v>0</v>
      </c>
      <c r="AX15" s="40">
        <f t="shared" si="15"/>
        <v>0</v>
      </c>
      <c r="AY15" s="40">
        <f t="shared" si="16"/>
        <v>0</v>
      </c>
      <c r="AZ15" s="41"/>
    </row>
    <row r="16" s="6" customFormat="1" ht="25" customHeight="1" spans="1:52">
      <c r="A16" s="36">
        <v>11</v>
      </c>
      <c r="B16" s="37" t="str">
        <f>工资表!B14</f>
        <v>温进进</v>
      </c>
      <c r="C16" s="38" t="str">
        <f>工资表!C14</f>
        <v>土建工程师</v>
      </c>
      <c r="D16" s="39" t="s">
        <v>108</v>
      </c>
      <c r="E16" s="39" t="s">
        <v>108</v>
      </c>
      <c r="F16" s="39" t="s">
        <v>108</v>
      </c>
      <c r="G16" s="39" t="s">
        <v>95</v>
      </c>
      <c r="H16" s="39" t="s">
        <v>95</v>
      </c>
      <c r="I16" s="39" t="s">
        <v>95</v>
      </c>
      <c r="J16" s="39" t="s">
        <v>108</v>
      </c>
      <c r="K16" s="39" t="s">
        <v>108</v>
      </c>
      <c r="L16" s="39" t="s">
        <v>108</v>
      </c>
      <c r="M16" s="39" t="s">
        <v>108</v>
      </c>
      <c r="N16" s="39" t="s">
        <v>95</v>
      </c>
      <c r="O16" s="39" t="s">
        <v>95</v>
      </c>
      <c r="P16" s="39" t="s">
        <v>108</v>
      </c>
      <c r="Q16" s="39" t="s">
        <v>108</v>
      </c>
      <c r="R16" s="39" t="s">
        <v>108</v>
      </c>
      <c r="S16" s="39" t="s">
        <v>108</v>
      </c>
      <c r="T16" s="39" t="s">
        <v>108</v>
      </c>
      <c r="U16" s="39" t="s">
        <v>95</v>
      </c>
      <c r="V16" s="39" t="s">
        <v>95</v>
      </c>
      <c r="W16" s="39" t="s">
        <v>108</v>
      </c>
      <c r="X16" s="39" t="s">
        <v>108</v>
      </c>
      <c r="Y16" s="39" t="s">
        <v>108</v>
      </c>
      <c r="Z16" s="39" t="s">
        <v>108</v>
      </c>
      <c r="AA16" s="39" t="s">
        <v>108</v>
      </c>
      <c r="AB16" s="39" t="s">
        <v>95</v>
      </c>
      <c r="AC16" s="39" t="s">
        <v>95</v>
      </c>
      <c r="AD16" s="39" t="s">
        <v>108</v>
      </c>
      <c r="AE16" s="39" t="s">
        <v>108</v>
      </c>
      <c r="AF16" s="39" t="s">
        <v>108</v>
      </c>
      <c r="AG16" s="39" t="s">
        <v>108</v>
      </c>
      <c r="AH16" s="39"/>
      <c r="AI16" s="36">
        <f t="shared" si="0"/>
        <v>21</v>
      </c>
      <c r="AJ16" s="36">
        <f t="shared" si="1"/>
        <v>9</v>
      </c>
      <c r="AK16" s="40">
        <f t="shared" si="2"/>
        <v>21</v>
      </c>
      <c r="AL16" s="40">
        <f t="shared" si="3"/>
        <v>0</v>
      </c>
      <c r="AM16" s="40">
        <f t="shared" si="4"/>
        <v>9</v>
      </c>
      <c r="AN16" s="40">
        <f t="shared" si="5"/>
        <v>0</v>
      </c>
      <c r="AO16" s="40">
        <f t="shared" si="6"/>
        <v>0</v>
      </c>
      <c r="AP16" s="40">
        <f t="shared" si="7"/>
        <v>0</v>
      </c>
      <c r="AQ16" s="40">
        <f t="shared" si="8"/>
        <v>0</v>
      </c>
      <c r="AR16" s="40">
        <f t="shared" si="9"/>
        <v>0</v>
      </c>
      <c r="AS16" s="40">
        <f t="shared" si="10"/>
        <v>0</v>
      </c>
      <c r="AT16" s="40">
        <f t="shared" si="11"/>
        <v>0</v>
      </c>
      <c r="AU16" s="40">
        <f t="shared" si="12"/>
        <v>0</v>
      </c>
      <c r="AV16" s="40">
        <f t="shared" si="13"/>
        <v>0</v>
      </c>
      <c r="AW16" s="40">
        <f t="shared" si="14"/>
        <v>0</v>
      </c>
      <c r="AX16" s="40">
        <f t="shared" si="15"/>
        <v>0</v>
      </c>
      <c r="AY16" s="40">
        <f t="shared" si="16"/>
        <v>0</v>
      </c>
      <c r="AZ16" s="41"/>
    </row>
    <row r="17" s="7" customFormat="1" ht="25" customHeight="1" spans="1:251">
      <c r="A17" s="36">
        <v>12</v>
      </c>
      <c r="B17" s="37" t="str">
        <f>工资表!B15</f>
        <v>尹江</v>
      </c>
      <c r="C17" s="38" t="str">
        <f>工资表!C15</f>
        <v>水暖工程师</v>
      </c>
      <c r="D17" s="39" t="s">
        <v>108</v>
      </c>
      <c r="E17" s="39" t="s">
        <v>108</v>
      </c>
      <c r="F17" s="39" t="s">
        <v>108</v>
      </c>
      <c r="G17" s="39" t="s">
        <v>95</v>
      </c>
      <c r="H17" s="39" t="s">
        <v>95</v>
      </c>
      <c r="I17" s="39" t="s">
        <v>95</v>
      </c>
      <c r="J17" s="39" t="s">
        <v>108</v>
      </c>
      <c r="K17" s="39" t="s">
        <v>108</v>
      </c>
      <c r="L17" s="39" t="s">
        <v>108</v>
      </c>
      <c r="M17" s="39" t="s">
        <v>108</v>
      </c>
      <c r="N17" s="39" t="s">
        <v>95</v>
      </c>
      <c r="O17" s="39" t="s">
        <v>95</v>
      </c>
      <c r="P17" s="39" t="s">
        <v>108</v>
      </c>
      <c r="Q17" s="39" t="s">
        <v>108</v>
      </c>
      <c r="R17" s="39" t="s">
        <v>94</v>
      </c>
      <c r="S17" s="39" t="s">
        <v>94</v>
      </c>
      <c r="T17" s="39" t="s">
        <v>94</v>
      </c>
      <c r="U17" s="39" t="s">
        <v>95</v>
      </c>
      <c r="V17" s="39" t="s">
        <v>95</v>
      </c>
      <c r="W17" s="39" t="s">
        <v>94</v>
      </c>
      <c r="X17" s="39" t="s">
        <v>94</v>
      </c>
      <c r="Y17" s="39" t="s">
        <v>108</v>
      </c>
      <c r="Z17" s="39" t="s">
        <v>108</v>
      </c>
      <c r="AA17" s="39" t="s">
        <v>108</v>
      </c>
      <c r="AB17" s="39" t="s">
        <v>95</v>
      </c>
      <c r="AC17" s="39" t="s">
        <v>95</v>
      </c>
      <c r="AD17" s="39" t="s">
        <v>108</v>
      </c>
      <c r="AE17" s="39" t="s">
        <v>108</v>
      </c>
      <c r="AF17" s="39" t="s">
        <v>108</v>
      </c>
      <c r="AG17" s="39" t="s">
        <v>108</v>
      </c>
      <c r="AH17" s="39"/>
      <c r="AI17" s="36">
        <f t="shared" si="0"/>
        <v>21</v>
      </c>
      <c r="AJ17" s="36">
        <f t="shared" si="1"/>
        <v>9</v>
      </c>
      <c r="AK17" s="40">
        <f t="shared" si="2"/>
        <v>16</v>
      </c>
      <c r="AL17" s="40">
        <f t="shared" si="3"/>
        <v>5</v>
      </c>
      <c r="AM17" s="40">
        <f t="shared" si="4"/>
        <v>9</v>
      </c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1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</row>
    <row r="18" s="7" customFormat="1" ht="25" customHeight="1" spans="1:251">
      <c r="A18" s="36">
        <v>13</v>
      </c>
      <c r="B18" s="37" t="str">
        <f>工资表!B16</f>
        <v>谢华军</v>
      </c>
      <c r="C18" s="38" t="str">
        <f>工资表!C16</f>
        <v>招商专员</v>
      </c>
      <c r="D18" s="39" t="s">
        <v>108</v>
      </c>
      <c r="E18" s="39" t="s">
        <v>108</v>
      </c>
      <c r="F18" s="39" t="s">
        <v>108</v>
      </c>
      <c r="G18" s="39" t="s">
        <v>95</v>
      </c>
      <c r="H18" s="39" t="s">
        <v>95</v>
      </c>
      <c r="I18" s="39" t="s">
        <v>95</v>
      </c>
      <c r="J18" s="39" t="s">
        <v>108</v>
      </c>
      <c r="K18" s="39" t="s">
        <v>108</v>
      </c>
      <c r="L18" s="39" t="s">
        <v>108</v>
      </c>
      <c r="M18" s="39" t="s">
        <v>108</v>
      </c>
      <c r="N18" s="39" t="s">
        <v>95</v>
      </c>
      <c r="O18" s="39" t="s">
        <v>95</v>
      </c>
      <c r="P18" s="39" t="s">
        <v>108</v>
      </c>
      <c r="Q18" s="39" t="s">
        <v>108</v>
      </c>
      <c r="R18" s="39" t="s">
        <v>108</v>
      </c>
      <c r="S18" s="39" t="s">
        <v>108</v>
      </c>
      <c r="T18" s="39" t="s">
        <v>108</v>
      </c>
      <c r="U18" s="39" t="s">
        <v>95</v>
      </c>
      <c r="V18" s="39" t="s">
        <v>95</v>
      </c>
      <c r="W18" s="39" t="s">
        <v>108</v>
      </c>
      <c r="X18" s="39" t="s">
        <v>108</v>
      </c>
      <c r="Y18" s="39" t="s">
        <v>108</v>
      </c>
      <c r="Z18" s="39" t="s">
        <v>108</v>
      </c>
      <c r="AA18" s="39" t="s">
        <v>108</v>
      </c>
      <c r="AB18" s="39" t="s">
        <v>95</v>
      </c>
      <c r="AC18" s="39" t="s">
        <v>95</v>
      </c>
      <c r="AD18" s="39" t="s">
        <v>108</v>
      </c>
      <c r="AE18" s="39" t="s">
        <v>108</v>
      </c>
      <c r="AF18" s="39" t="s">
        <v>108</v>
      </c>
      <c r="AG18" s="39" t="s">
        <v>108</v>
      </c>
      <c r="AH18" s="39"/>
      <c r="AI18" s="36">
        <f t="shared" si="0"/>
        <v>21</v>
      </c>
      <c r="AJ18" s="36">
        <f t="shared" si="1"/>
        <v>9</v>
      </c>
      <c r="AK18" s="40">
        <f t="shared" si="2"/>
        <v>21</v>
      </c>
      <c r="AL18" s="40">
        <f t="shared" si="3"/>
        <v>0</v>
      </c>
      <c r="AM18" s="40">
        <f t="shared" si="4"/>
        <v>9</v>
      </c>
      <c r="AN18" s="40">
        <f t="shared" ref="AN18:AN31" si="17">COUNTIF($D18:$AH18,"病假")</f>
        <v>0</v>
      </c>
      <c r="AO18" s="40">
        <f t="shared" ref="AO18:AO31" si="18">COUNTIF($D18:$AH18,"事假")</f>
        <v>0</v>
      </c>
      <c r="AP18" s="40">
        <f t="shared" ref="AP18:AP31" si="19">COUNTIF($D18:$AH18,"旷工")</f>
        <v>0</v>
      </c>
      <c r="AQ18" s="40">
        <f t="shared" ref="AQ18:AQ31" si="20">COUNTIF($D18:$AH18,"工伤")</f>
        <v>0</v>
      </c>
      <c r="AR18" s="40">
        <f t="shared" ref="AR18:AR31" si="21">COUNTIF($D18:$AH18,"培训")</f>
        <v>0</v>
      </c>
      <c r="AS18" s="40">
        <f t="shared" ref="AS18:AS31" si="22">COUNTIF($D18:$AH18,"冬休")</f>
        <v>0</v>
      </c>
      <c r="AT18" s="40">
        <f t="shared" ref="AT18:AT31" si="23">COUNTIF($D18:$AH18,"休假")</f>
        <v>0</v>
      </c>
      <c r="AU18" s="40">
        <f t="shared" ref="AU18:AU31" si="24">COUNTIF($D18:$AH18,"探亲")</f>
        <v>0</v>
      </c>
      <c r="AV18" s="40">
        <f t="shared" ref="AV18:AV31" si="25">COUNTIF($D18:$AH18,"产假")</f>
        <v>0</v>
      </c>
      <c r="AW18" s="40">
        <f t="shared" ref="AW18:AW31" si="26">COUNTIF($D18:$AH18,"陪护假")</f>
        <v>0</v>
      </c>
      <c r="AX18" s="40">
        <f t="shared" ref="AX18:AX31" si="27">COUNTIF($D18:$AH18,"婚丧假")</f>
        <v>0</v>
      </c>
      <c r="AY18" s="40">
        <f t="shared" ref="AY18:AY31" si="28">COUNTIF($D18:$AH18,"待岗")</f>
        <v>0</v>
      </c>
      <c r="AZ18" s="41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</row>
    <row r="19" s="7" customFormat="1" ht="25" customHeight="1" spans="1:251">
      <c r="A19" s="36">
        <v>14</v>
      </c>
      <c r="B19" s="37" t="str">
        <f>工资表!B17</f>
        <v>张志慧</v>
      </c>
      <c r="C19" s="38" t="str">
        <f>工资表!C17</f>
        <v>置业顾问</v>
      </c>
      <c r="D19" s="39" t="s">
        <v>108</v>
      </c>
      <c r="E19" s="39" t="s">
        <v>108</v>
      </c>
      <c r="F19" s="39" t="s">
        <v>108</v>
      </c>
      <c r="G19" s="39" t="s">
        <v>108</v>
      </c>
      <c r="H19" s="39" t="s">
        <v>95</v>
      </c>
      <c r="I19" s="39" t="s">
        <v>108</v>
      </c>
      <c r="J19" s="39" t="s">
        <v>108</v>
      </c>
      <c r="K19" s="39" t="s">
        <v>108</v>
      </c>
      <c r="L19" s="39" t="s">
        <v>108</v>
      </c>
      <c r="M19" s="39" t="s">
        <v>108</v>
      </c>
      <c r="N19" s="39" t="s">
        <v>108</v>
      </c>
      <c r="O19" s="39" t="s">
        <v>95</v>
      </c>
      <c r="P19" s="39" t="s">
        <v>108</v>
      </c>
      <c r="Q19" s="39" t="s">
        <v>108</v>
      </c>
      <c r="R19" s="39" t="s">
        <v>108</v>
      </c>
      <c r="S19" s="39" t="s">
        <v>108</v>
      </c>
      <c r="T19" s="39" t="s">
        <v>108</v>
      </c>
      <c r="U19" s="39" t="s">
        <v>108</v>
      </c>
      <c r="V19" s="39" t="s">
        <v>95</v>
      </c>
      <c r="W19" s="39" t="s">
        <v>108</v>
      </c>
      <c r="X19" s="39" t="s">
        <v>108</v>
      </c>
      <c r="Y19" s="39" t="s">
        <v>108</v>
      </c>
      <c r="Z19" s="39" t="s">
        <v>108</v>
      </c>
      <c r="AA19" s="39" t="s">
        <v>108</v>
      </c>
      <c r="AB19" s="39" t="s">
        <v>108</v>
      </c>
      <c r="AC19" s="39" t="s">
        <v>95</v>
      </c>
      <c r="AD19" s="39" t="s">
        <v>108</v>
      </c>
      <c r="AE19" s="39" t="s">
        <v>108</v>
      </c>
      <c r="AF19" s="39" t="s">
        <v>108</v>
      </c>
      <c r="AG19" s="39" t="s">
        <v>108</v>
      </c>
      <c r="AH19" s="39"/>
      <c r="AI19" s="36">
        <f t="shared" si="0"/>
        <v>26</v>
      </c>
      <c r="AJ19" s="36">
        <f t="shared" si="1"/>
        <v>4</v>
      </c>
      <c r="AK19" s="40">
        <f t="shared" si="2"/>
        <v>26</v>
      </c>
      <c r="AL19" s="40">
        <f t="shared" si="3"/>
        <v>0</v>
      </c>
      <c r="AM19" s="40">
        <f t="shared" si="4"/>
        <v>4</v>
      </c>
      <c r="AN19" s="40">
        <f t="shared" si="17"/>
        <v>0</v>
      </c>
      <c r="AO19" s="40">
        <f t="shared" si="18"/>
        <v>0</v>
      </c>
      <c r="AP19" s="40">
        <f t="shared" si="19"/>
        <v>0</v>
      </c>
      <c r="AQ19" s="40">
        <f t="shared" si="20"/>
        <v>0</v>
      </c>
      <c r="AR19" s="40">
        <f t="shared" si="21"/>
        <v>0</v>
      </c>
      <c r="AS19" s="40">
        <f t="shared" si="22"/>
        <v>0</v>
      </c>
      <c r="AT19" s="40">
        <f t="shared" si="23"/>
        <v>0</v>
      </c>
      <c r="AU19" s="40">
        <f t="shared" si="24"/>
        <v>0</v>
      </c>
      <c r="AV19" s="40">
        <f t="shared" si="25"/>
        <v>0</v>
      </c>
      <c r="AW19" s="40">
        <f t="shared" si="26"/>
        <v>0</v>
      </c>
      <c r="AX19" s="40">
        <f t="shared" si="27"/>
        <v>0</v>
      </c>
      <c r="AY19" s="40">
        <f t="shared" si="28"/>
        <v>0</v>
      </c>
      <c r="AZ19" s="41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</row>
    <row r="20" s="7" customFormat="1" ht="25" customHeight="1" spans="1:251">
      <c r="A20" s="36">
        <v>15</v>
      </c>
      <c r="B20" s="37" t="str">
        <f>工资表!B18</f>
        <v>王荣</v>
      </c>
      <c r="C20" s="38" t="str">
        <f>工资表!C18</f>
        <v>置业顾问</v>
      </c>
      <c r="D20" s="39" t="s">
        <v>108</v>
      </c>
      <c r="E20" s="39" t="s">
        <v>108</v>
      </c>
      <c r="F20" s="39" t="s">
        <v>108</v>
      </c>
      <c r="G20" s="39" t="s">
        <v>108</v>
      </c>
      <c r="H20" s="39" t="s">
        <v>108</v>
      </c>
      <c r="I20" s="39" t="s">
        <v>108</v>
      </c>
      <c r="J20" s="39" t="s">
        <v>108</v>
      </c>
      <c r="K20" s="39" t="s">
        <v>108</v>
      </c>
      <c r="L20" s="39" t="s">
        <v>108</v>
      </c>
      <c r="M20" s="39" t="s">
        <v>108</v>
      </c>
      <c r="N20" s="39" t="s">
        <v>108</v>
      </c>
      <c r="O20" s="39" t="s">
        <v>108</v>
      </c>
      <c r="P20" s="39" t="s">
        <v>95</v>
      </c>
      <c r="Q20" s="39" t="s">
        <v>108</v>
      </c>
      <c r="R20" s="39" t="s">
        <v>108</v>
      </c>
      <c r="S20" s="39" t="s">
        <v>95</v>
      </c>
      <c r="T20" s="39" t="s">
        <v>108</v>
      </c>
      <c r="U20" s="39" t="s">
        <v>108</v>
      </c>
      <c r="V20" s="39" t="s">
        <v>108</v>
      </c>
      <c r="W20" s="39" t="s">
        <v>95</v>
      </c>
      <c r="X20" s="39" t="s">
        <v>108</v>
      </c>
      <c r="Y20" s="39" t="s">
        <v>108</v>
      </c>
      <c r="Z20" s="39" t="s">
        <v>108</v>
      </c>
      <c r="AA20" s="39" t="s">
        <v>95</v>
      </c>
      <c r="AB20" s="39" t="s">
        <v>108</v>
      </c>
      <c r="AC20" s="39" t="s">
        <v>108</v>
      </c>
      <c r="AD20" s="39" t="s">
        <v>108</v>
      </c>
      <c r="AE20" s="39" t="s">
        <v>108</v>
      </c>
      <c r="AF20" s="39" t="s">
        <v>108</v>
      </c>
      <c r="AG20" s="39" t="s">
        <v>108</v>
      </c>
      <c r="AH20" s="39"/>
      <c r="AI20" s="36">
        <f t="shared" si="0"/>
        <v>26</v>
      </c>
      <c r="AJ20" s="36">
        <f t="shared" si="1"/>
        <v>4</v>
      </c>
      <c r="AK20" s="40">
        <f t="shared" si="2"/>
        <v>26</v>
      </c>
      <c r="AL20" s="40">
        <f t="shared" si="3"/>
        <v>0</v>
      </c>
      <c r="AM20" s="40">
        <f t="shared" si="4"/>
        <v>4</v>
      </c>
      <c r="AN20" s="40">
        <f t="shared" si="17"/>
        <v>0</v>
      </c>
      <c r="AO20" s="40">
        <f t="shared" si="18"/>
        <v>0</v>
      </c>
      <c r="AP20" s="40">
        <f t="shared" si="19"/>
        <v>0</v>
      </c>
      <c r="AQ20" s="40">
        <f t="shared" si="20"/>
        <v>0</v>
      </c>
      <c r="AR20" s="40">
        <f t="shared" si="21"/>
        <v>0</v>
      </c>
      <c r="AS20" s="40">
        <f t="shared" si="22"/>
        <v>0</v>
      </c>
      <c r="AT20" s="40">
        <f t="shared" si="23"/>
        <v>0</v>
      </c>
      <c r="AU20" s="40">
        <f t="shared" si="24"/>
        <v>0</v>
      </c>
      <c r="AV20" s="40">
        <f t="shared" si="25"/>
        <v>0</v>
      </c>
      <c r="AW20" s="40">
        <f t="shared" si="26"/>
        <v>0</v>
      </c>
      <c r="AX20" s="40">
        <f t="shared" si="27"/>
        <v>0</v>
      </c>
      <c r="AY20" s="40">
        <f t="shared" si="28"/>
        <v>0</v>
      </c>
      <c r="AZ20" s="41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</row>
    <row r="21" s="7" customFormat="1" ht="25" customHeight="1" spans="1:251">
      <c r="A21" s="36">
        <v>16</v>
      </c>
      <c r="B21" s="37" t="str">
        <f>工资表!B19</f>
        <v>霍苒</v>
      </c>
      <c r="C21" s="38" t="str">
        <f>工资表!C19</f>
        <v>置业顾问</v>
      </c>
      <c r="D21" s="39" t="s">
        <v>108</v>
      </c>
      <c r="E21" s="39" t="s">
        <v>108</v>
      </c>
      <c r="F21" s="39" t="s">
        <v>108</v>
      </c>
      <c r="G21" s="39" t="s">
        <v>108</v>
      </c>
      <c r="H21" s="39" t="s">
        <v>108</v>
      </c>
      <c r="I21" s="39" t="s">
        <v>108</v>
      </c>
      <c r="J21" s="39" t="s">
        <v>108</v>
      </c>
      <c r="K21" s="39" t="s">
        <v>108</v>
      </c>
      <c r="L21" s="39" t="s">
        <v>95</v>
      </c>
      <c r="M21" s="39" t="s">
        <v>108</v>
      </c>
      <c r="N21" s="39" t="s">
        <v>108</v>
      </c>
      <c r="O21" s="39" t="s">
        <v>108</v>
      </c>
      <c r="P21" s="39" t="s">
        <v>108</v>
      </c>
      <c r="Q21" s="39" t="s">
        <v>108</v>
      </c>
      <c r="R21" s="39" t="s">
        <v>108</v>
      </c>
      <c r="S21" s="39" t="s">
        <v>95</v>
      </c>
      <c r="T21" s="39" t="s">
        <v>95</v>
      </c>
      <c r="U21" s="39" t="s">
        <v>108</v>
      </c>
      <c r="V21" s="39" t="s">
        <v>108</v>
      </c>
      <c r="W21" s="39" t="s">
        <v>108</v>
      </c>
      <c r="X21" s="39" t="s">
        <v>108</v>
      </c>
      <c r="Y21" s="39" t="s">
        <v>108</v>
      </c>
      <c r="Z21" s="39" t="s">
        <v>108</v>
      </c>
      <c r="AA21" s="39" t="s">
        <v>95</v>
      </c>
      <c r="AB21" s="39" t="s">
        <v>108</v>
      </c>
      <c r="AC21" s="39" t="s">
        <v>108</v>
      </c>
      <c r="AD21" s="39" t="s">
        <v>108</v>
      </c>
      <c r="AE21" s="39" t="s">
        <v>108</v>
      </c>
      <c r="AF21" s="39" t="s">
        <v>108</v>
      </c>
      <c r="AG21" s="39" t="s">
        <v>108</v>
      </c>
      <c r="AH21" s="39"/>
      <c r="AI21" s="36">
        <f t="shared" si="0"/>
        <v>26</v>
      </c>
      <c r="AJ21" s="36">
        <f t="shared" si="1"/>
        <v>4</v>
      </c>
      <c r="AK21" s="40">
        <f t="shared" si="2"/>
        <v>26</v>
      </c>
      <c r="AL21" s="40">
        <f t="shared" si="3"/>
        <v>0</v>
      </c>
      <c r="AM21" s="40">
        <f t="shared" si="4"/>
        <v>4</v>
      </c>
      <c r="AN21" s="40">
        <f t="shared" si="17"/>
        <v>0</v>
      </c>
      <c r="AO21" s="40">
        <f t="shared" si="18"/>
        <v>0</v>
      </c>
      <c r="AP21" s="40">
        <f t="shared" si="19"/>
        <v>0</v>
      </c>
      <c r="AQ21" s="40">
        <f t="shared" si="20"/>
        <v>0</v>
      </c>
      <c r="AR21" s="40">
        <f t="shared" si="21"/>
        <v>0</v>
      </c>
      <c r="AS21" s="40">
        <f t="shared" si="22"/>
        <v>0</v>
      </c>
      <c r="AT21" s="40">
        <f t="shared" si="23"/>
        <v>0</v>
      </c>
      <c r="AU21" s="40">
        <f t="shared" si="24"/>
        <v>0</v>
      </c>
      <c r="AV21" s="40">
        <f t="shared" si="25"/>
        <v>0</v>
      </c>
      <c r="AW21" s="40">
        <f t="shared" si="26"/>
        <v>0</v>
      </c>
      <c r="AX21" s="40">
        <f t="shared" si="27"/>
        <v>0</v>
      </c>
      <c r="AY21" s="40">
        <f t="shared" si="28"/>
        <v>0</v>
      </c>
      <c r="AZ21" s="41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</row>
    <row r="22" s="7" customFormat="1" ht="25" customHeight="1" spans="1:251">
      <c r="A22" s="36">
        <v>17</v>
      </c>
      <c r="B22" s="37" t="str">
        <f>工资表!B20</f>
        <v>闫金秀</v>
      </c>
      <c r="C22" s="38" t="str">
        <f>工资表!C20</f>
        <v>置业顾问</v>
      </c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6">
        <f t="shared" si="0"/>
        <v>0</v>
      </c>
      <c r="AJ22" s="36">
        <f t="shared" si="1"/>
        <v>0</v>
      </c>
      <c r="AK22" s="40">
        <f t="shared" si="2"/>
        <v>0</v>
      </c>
      <c r="AL22" s="40">
        <f t="shared" si="3"/>
        <v>0</v>
      </c>
      <c r="AM22" s="40">
        <f t="shared" si="4"/>
        <v>0</v>
      </c>
      <c r="AN22" s="40">
        <f t="shared" si="17"/>
        <v>0</v>
      </c>
      <c r="AO22" s="40">
        <f t="shared" si="18"/>
        <v>0</v>
      </c>
      <c r="AP22" s="40">
        <f t="shared" si="19"/>
        <v>0</v>
      </c>
      <c r="AQ22" s="40">
        <f t="shared" si="20"/>
        <v>0</v>
      </c>
      <c r="AR22" s="40">
        <f t="shared" si="21"/>
        <v>0</v>
      </c>
      <c r="AS22" s="40">
        <f t="shared" si="22"/>
        <v>0</v>
      </c>
      <c r="AT22" s="40">
        <f t="shared" si="23"/>
        <v>0</v>
      </c>
      <c r="AU22" s="40">
        <f t="shared" si="24"/>
        <v>0</v>
      </c>
      <c r="AV22" s="40">
        <f t="shared" si="25"/>
        <v>0</v>
      </c>
      <c r="AW22" s="40">
        <f t="shared" si="26"/>
        <v>0</v>
      </c>
      <c r="AX22" s="40">
        <f t="shared" si="27"/>
        <v>0</v>
      </c>
      <c r="AY22" s="40">
        <f t="shared" si="28"/>
        <v>0</v>
      </c>
      <c r="AZ22" s="41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</row>
    <row r="23" s="7" customFormat="1" ht="25" customHeight="1" spans="1:251">
      <c r="A23" s="36">
        <v>18</v>
      </c>
      <c r="B23" s="37" t="str">
        <f>工资表!B21</f>
        <v>赵江龙</v>
      </c>
      <c r="C23" s="38" t="str">
        <f>工资表!C21</f>
        <v>案场销售经理</v>
      </c>
      <c r="D23" s="39" t="s">
        <v>108</v>
      </c>
      <c r="E23" s="39" t="s">
        <v>108</v>
      </c>
      <c r="F23" s="39" t="s">
        <v>108</v>
      </c>
      <c r="G23" s="39" t="s">
        <v>108</v>
      </c>
      <c r="H23" s="39" t="s">
        <v>108</v>
      </c>
      <c r="I23" s="39" t="s">
        <v>108</v>
      </c>
      <c r="J23" s="39" t="s">
        <v>95</v>
      </c>
      <c r="K23" s="39" t="s">
        <v>108</v>
      </c>
      <c r="L23" s="39" t="s">
        <v>108</v>
      </c>
      <c r="M23" s="39" t="s">
        <v>108</v>
      </c>
      <c r="N23" s="39" t="s">
        <v>95</v>
      </c>
      <c r="O23" s="39" t="s">
        <v>108</v>
      </c>
      <c r="P23" s="39" t="s">
        <v>108</v>
      </c>
      <c r="Q23" s="39" t="s">
        <v>108</v>
      </c>
      <c r="R23" s="39" t="s">
        <v>108</v>
      </c>
      <c r="S23" s="39" t="s">
        <v>95</v>
      </c>
      <c r="T23" s="39" t="s">
        <v>108</v>
      </c>
      <c r="U23" s="39" t="s">
        <v>108</v>
      </c>
      <c r="V23" s="39" t="s">
        <v>108</v>
      </c>
      <c r="W23" s="39" t="s">
        <v>108</v>
      </c>
      <c r="X23" s="39" t="s">
        <v>108</v>
      </c>
      <c r="Y23" s="39" t="s">
        <v>108</v>
      </c>
      <c r="Z23" s="39" t="s">
        <v>108</v>
      </c>
      <c r="AA23" s="39" t="s">
        <v>108</v>
      </c>
      <c r="AB23" s="39" t="s">
        <v>108</v>
      </c>
      <c r="AC23" s="39" t="s">
        <v>108</v>
      </c>
      <c r="AD23" s="39" t="s">
        <v>95</v>
      </c>
      <c r="AE23" s="39" t="s">
        <v>108</v>
      </c>
      <c r="AF23" s="39" t="s">
        <v>108</v>
      </c>
      <c r="AG23" s="39" t="s">
        <v>108</v>
      </c>
      <c r="AH23" s="39"/>
      <c r="AI23" s="36">
        <f t="shared" si="0"/>
        <v>26</v>
      </c>
      <c r="AJ23" s="36">
        <f t="shared" si="1"/>
        <v>4</v>
      </c>
      <c r="AK23" s="40">
        <f t="shared" si="2"/>
        <v>26</v>
      </c>
      <c r="AL23" s="40">
        <f t="shared" si="3"/>
        <v>0</v>
      </c>
      <c r="AM23" s="40">
        <f t="shared" si="4"/>
        <v>4</v>
      </c>
      <c r="AN23" s="40">
        <f t="shared" si="17"/>
        <v>0</v>
      </c>
      <c r="AO23" s="40">
        <f t="shared" si="18"/>
        <v>0</v>
      </c>
      <c r="AP23" s="40">
        <f t="shared" si="19"/>
        <v>0</v>
      </c>
      <c r="AQ23" s="40">
        <f t="shared" si="20"/>
        <v>0</v>
      </c>
      <c r="AR23" s="40">
        <f t="shared" si="21"/>
        <v>0</v>
      </c>
      <c r="AS23" s="40">
        <f t="shared" si="22"/>
        <v>0</v>
      </c>
      <c r="AT23" s="40">
        <f t="shared" si="23"/>
        <v>0</v>
      </c>
      <c r="AU23" s="40">
        <f t="shared" si="24"/>
        <v>0</v>
      </c>
      <c r="AV23" s="40">
        <f t="shared" si="25"/>
        <v>0</v>
      </c>
      <c r="AW23" s="40">
        <f t="shared" si="26"/>
        <v>0</v>
      </c>
      <c r="AX23" s="40">
        <f t="shared" si="27"/>
        <v>0</v>
      </c>
      <c r="AY23" s="40">
        <f t="shared" si="28"/>
        <v>0</v>
      </c>
      <c r="AZ23" s="41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</row>
    <row r="24" s="7" customFormat="1" ht="25" customHeight="1" spans="1:251">
      <c r="A24" s="36">
        <v>19</v>
      </c>
      <c r="B24" s="37" t="str">
        <f>工资表!B22</f>
        <v>张新艳</v>
      </c>
      <c r="C24" s="38" t="str">
        <f>工资表!C22</f>
        <v>置业顾问</v>
      </c>
      <c r="D24" s="39" t="s">
        <v>108</v>
      </c>
      <c r="E24" s="39" t="s">
        <v>108</v>
      </c>
      <c r="F24" s="39" t="s">
        <v>108</v>
      </c>
      <c r="G24" s="39" t="s">
        <v>95</v>
      </c>
      <c r="H24" s="39" t="s">
        <v>108</v>
      </c>
      <c r="I24" s="39" t="s">
        <v>108</v>
      </c>
      <c r="J24" s="39" t="s">
        <v>108</v>
      </c>
      <c r="K24" s="39" t="s">
        <v>108</v>
      </c>
      <c r="L24" s="39" t="s">
        <v>108</v>
      </c>
      <c r="M24" s="39" t="s">
        <v>108</v>
      </c>
      <c r="N24" s="39" t="s">
        <v>95</v>
      </c>
      <c r="O24" s="39" t="s">
        <v>108</v>
      </c>
      <c r="P24" s="39" t="s">
        <v>108</v>
      </c>
      <c r="Q24" s="39" t="s">
        <v>108</v>
      </c>
      <c r="R24" s="39" t="s">
        <v>108</v>
      </c>
      <c r="S24" s="39" t="s">
        <v>108</v>
      </c>
      <c r="T24" s="39" t="s">
        <v>108</v>
      </c>
      <c r="U24" s="39" t="s">
        <v>95</v>
      </c>
      <c r="V24" s="39" t="s">
        <v>108</v>
      </c>
      <c r="W24" s="39" t="s">
        <v>108</v>
      </c>
      <c r="X24" s="39" t="s">
        <v>108</v>
      </c>
      <c r="Y24" s="39" t="s">
        <v>108</v>
      </c>
      <c r="Z24" s="39" t="s">
        <v>108</v>
      </c>
      <c r="AA24" s="39" t="s">
        <v>108</v>
      </c>
      <c r="AB24" s="39" t="s">
        <v>95</v>
      </c>
      <c r="AC24" s="39" t="s">
        <v>108</v>
      </c>
      <c r="AD24" s="39" t="s">
        <v>108</v>
      </c>
      <c r="AE24" s="39" t="s">
        <v>108</v>
      </c>
      <c r="AF24" s="39" t="s">
        <v>108</v>
      </c>
      <c r="AG24" s="39" t="s">
        <v>108</v>
      </c>
      <c r="AH24" s="39"/>
      <c r="AI24" s="36">
        <f t="shared" si="0"/>
        <v>26</v>
      </c>
      <c r="AJ24" s="36">
        <f t="shared" si="1"/>
        <v>4</v>
      </c>
      <c r="AK24" s="40">
        <f t="shared" si="2"/>
        <v>26</v>
      </c>
      <c r="AL24" s="40">
        <f t="shared" si="3"/>
        <v>0</v>
      </c>
      <c r="AM24" s="40">
        <f t="shared" si="4"/>
        <v>4</v>
      </c>
      <c r="AN24" s="40">
        <f t="shared" si="17"/>
        <v>0</v>
      </c>
      <c r="AO24" s="40">
        <f t="shared" si="18"/>
        <v>0</v>
      </c>
      <c r="AP24" s="40">
        <f t="shared" si="19"/>
        <v>0</v>
      </c>
      <c r="AQ24" s="40">
        <f t="shared" si="20"/>
        <v>0</v>
      </c>
      <c r="AR24" s="40">
        <f t="shared" si="21"/>
        <v>0</v>
      </c>
      <c r="AS24" s="40">
        <f t="shared" si="22"/>
        <v>0</v>
      </c>
      <c r="AT24" s="40">
        <f t="shared" si="23"/>
        <v>0</v>
      </c>
      <c r="AU24" s="40">
        <f t="shared" si="24"/>
        <v>0</v>
      </c>
      <c r="AV24" s="40">
        <f t="shared" si="25"/>
        <v>0</v>
      </c>
      <c r="AW24" s="40">
        <f t="shared" si="26"/>
        <v>0</v>
      </c>
      <c r="AX24" s="40">
        <f t="shared" si="27"/>
        <v>0</v>
      </c>
      <c r="AY24" s="40">
        <f t="shared" si="28"/>
        <v>0</v>
      </c>
      <c r="AZ24" s="41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</row>
    <row r="25" s="7" customFormat="1" ht="25" customHeight="1" spans="1:251">
      <c r="A25" s="36">
        <v>20</v>
      </c>
      <c r="B25" s="37" t="str">
        <f>工资表!B23</f>
        <v>李福睛</v>
      </c>
      <c r="C25" s="38" t="str">
        <f>工资表!C23</f>
        <v>置业顾问</v>
      </c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6"/>
      <c r="AJ25" s="36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1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</row>
    <row r="26" s="7" customFormat="1" ht="25" customHeight="1" spans="1:251">
      <c r="A26" s="36">
        <v>21</v>
      </c>
      <c r="B26" s="37" t="str">
        <f>工资表!B24</f>
        <v>王玉慧</v>
      </c>
      <c r="C26" s="38" t="str">
        <f>工资表!C24</f>
        <v>置业顾问</v>
      </c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6">
        <f>AK26+AL26+AR26</f>
        <v>0</v>
      </c>
      <c r="AJ26" s="36">
        <f>AM26</f>
        <v>0</v>
      </c>
      <c r="AK26" s="40">
        <f>COUNTIF($D26:$AH26,"√")</f>
        <v>0</v>
      </c>
      <c r="AL26" s="40">
        <f>COUNTIF($D26:$AH26,"出差")</f>
        <v>0</v>
      </c>
      <c r="AM26" s="40">
        <f>COUNTIF($D26:$AH26,"公休")</f>
        <v>0</v>
      </c>
      <c r="AN26" s="40">
        <f>COUNTIF($D26:$AH26,"病假")</f>
        <v>0</v>
      </c>
      <c r="AO26" s="40">
        <f>COUNTIF($D26:$AH26,"事假")</f>
        <v>0</v>
      </c>
      <c r="AP26" s="40">
        <f>COUNTIF($D26:$AH26,"旷工")</f>
        <v>0</v>
      </c>
      <c r="AQ26" s="40">
        <f>COUNTIF($D26:$AH26,"工伤")</f>
        <v>0</v>
      </c>
      <c r="AR26" s="40">
        <f>COUNTIF($D26:$AH26,"培训")</f>
        <v>0</v>
      </c>
      <c r="AS26" s="40">
        <f>COUNTIF($D26:$AH26,"冬休")</f>
        <v>0</v>
      </c>
      <c r="AT26" s="40">
        <f>COUNTIF($D26:$AH26,"休假")</f>
        <v>0</v>
      </c>
      <c r="AU26" s="40">
        <f>COUNTIF($D26:$AH26,"探亲")</f>
        <v>0</v>
      </c>
      <c r="AV26" s="40">
        <f>COUNTIF($D26:$AH26,"产假")</f>
        <v>0</v>
      </c>
      <c r="AW26" s="40">
        <f>COUNTIF($D26:$AH26,"陪护假")</f>
        <v>0</v>
      </c>
      <c r="AX26" s="40">
        <f>COUNTIF($D26:$AH26,"婚丧假")</f>
        <v>0</v>
      </c>
      <c r="AY26" s="40">
        <f>COUNTIF($D26:$AH26,"待岗")</f>
        <v>0</v>
      </c>
      <c r="AZ26" s="41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</row>
    <row r="27" s="7" customFormat="1" ht="32" customHeight="1" spans="1:251">
      <c r="A27" s="42"/>
      <c r="B27" s="43"/>
      <c r="C27" s="44"/>
      <c r="D27" s="45"/>
      <c r="E27" s="45"/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2"/>
      <c r="AJ27" s="42"/>
      <c r="AK27" s="46"/>
      <c r="AL27" s="46"/>
      <c r="AM27" s="46"/>
      <c r="AN27" s="46"/>
      <c r="AO27" s="46"/>
      <c r="AP27" s="46"/>
      <c r="AQ27" s="46"/>
      <c r="AR27" s="46"/>
      <c r="AS27" s="46"/>
      <c r="AT27" s="46"/>
      <c r="AU27" s="46"/>
      <c r="AV27" s="46"/>
      <c r="AW27" s="46"/>
      <c r="AX27" s="46"/>
      <c r="AY27" s="46"/>
      <c r="AZ27" s="47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</row>
    <row r="28" s="7" customFormat="1" ht="20" customHeight="1" spans="1:251">
      <c r="A28" s="6"/>
      <c r="B28" s="48" t="s">
        <v>79</v>
      </c>
      <c r="C28" s="49"/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6"/>
      <c r="AJ28" s="51"/>
      <c r="AK28" s="46"/>
      <c r="AL28" s="46"/>
      <c r="AM28" s="46"/>
      <c r="AN28" s="46"/>
      <c r="AO28" s="46"/>
      <c r="AP28" s="46"/>
      <c r="AQ28" s="46"/>
      <c r="AR28" s="46"/>
      <c r="AS28" s="46"/>
      <c r="AT28" s="46"/>
      <c r="AU28" s="46"/>
      <c r="AV28" s="46"/>
      <c r="AW28" s="46"/>
      <c r="AX28" s="46"/>
      <c r="AY28" s="46"/>
      <c r="AZ28" s="52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9"/>
      <c r="DG28" s="9"/>
      <c r="DH28" s="9"/>
      <c r="DI28" s="9"/>
      <c r="DJ28" s="9"/>
      <c r="DK28" s="9"/>
      <c r="DL28" s="9"/>
      <c r="DM28" s="9"/>
      <c r="DN28" s="9"/>
      <c r="DO28" s="9"/>
      <c r="DP28" s="9"/>
      <c r="DQ28" s="9"/>
      <c r="DR28" s="9"/>
      <c r="DS28" s="9"/>
      <c r="DT28" s="9"/>
      <c r="DU28" s="9"/>
      <c r="DV28" s="9"/>
      <c r="DW28" s="9"/>
      <c r="DX28" s="9"/>
      <c r="DY28" s="9"/>
      <c r="DZ28" s="9"/>
      <c r="EA28" s="9"/>
      <c r="EB28" s="9"/>
      <c r="EC28" s="9"/>
      <c r="ED28" s="9"/>
      <c r="EE28" s="9"/>
      <c r="EF28" s="9"/>
      <c r="EG28" s="9"/>
      <c r="EH28" s="9"/>
      <c r="EI28" s="9"/>
      <c r="EJ28" s="9"/>
      <c r="EK28" s="9"/>
      <c r="EL28" s="9"/>
      <c r="EM28" s="9"/>
      <c r="EN28" s="9"/>
      <c r="EO28" s="9"/>
      <c r="EP28" s="9"/>
      <c r="EQ28" s="9"/>
      <c r="ER28" s="9"/>
      <c r="ES28" s="9"/>
      <c r="ET28" s="9"/>
      <c r="EU28" s="9"/>
      <c r="EV28" s="9"/>
      <c r="EW28" s="9"/>
      <c r="EX28" s="9"/>
      <c r="EY28" s="9"/>
      <c r="EZ28" s="9"/>
      <c r="FA28" s="9"/>
      <c r="FB28" s="9"/>
      <c r="FC28" s="9"/>
      <c r="FD28" s="9"/>
      <c r="FE28" s="9"/>
      <c r="FF28" s="9"/>
      <c r="FG28" s="9"/>
      <c r="FH28" s="9"/>
      <c r="FI28" s="9"/>
      <c r="FJ28" s="9"/>
      <c r="FK28" s="9"/>
      <c r="FL28" s="9"/>
      <c r="FM28" s="9"/>
      <c r="FN28" s="9"/>
      <c r="FO28" s="9"/>
      <c r="FP28" s="9"/>
      <c r="FQ28" s="9"/>
      <c r="FR28" s="9"/>
      <c r="FS28" s="9"/>
      <c r="FT28" s="9"/>
      <c r="FU28" s="9"/>
      <c r="FV28" s="9"/>
      <c r="FW28" s="9"/>
      <c r="FX28" s="9"/>
      <c r="FY28" s="9"/>
      <c r="FZ28" s="9"/>
      <c r="GA28" s="9"/>
      <c r="GB28" s="9"/>
      <c r="GC28" s="9"/>
      <c r="GD28" s="9"/>
      <c r="GE28" s="9"/>
      <c r="GF28" s="9"/>
      <c r="GG28" s="9"/>
      <c r="GH28" s="9"/>
      <c r="GI28" s="9"/>
      <c r="GJ28" s="9"/>
      <c r="GK28" s="9"/>
      <c r="GL28" s="9"/>
      <c r="GM28" s="9"/>
      <c r="GN28" s="9"/>
      <c r="GO28" s="9"/>
      <c r="GP28" s="9"/>
      <c r="GQ28" s="9"/>
      <c r="GR28" s="9"/>
      <c r="GS28" s="9"/>
      <c r="GT28" s="9"/>
      <c r="GU28" s="9"/>
      <c r="GV28" s="9"/>
      <c r="GW28" s="9"/>
      <c r="GX28" s="9"/>
      <c r="GY28" s="9"/>
      <c r="GZ28" s="9"/>
      <c r="HA28" s="9"/>
      <c r="HB28" s="9"/>
      <c r="HC28" s="9"/>
      <c r="HD28" s="9"/>
      <c r="HE28" s="9"/>
      <c r="HF28" s="9"/>
      <c r="HG28" s="9"/>
      <c r="HH28" s="9"/>
      <c r="HI28" s="9"/>
      <c r="HJ28" s="9"/>
      <c r="HK28" s="9"/>
      <c r="HL28" s="9"/>
      <c r="HM28" s="9"/>
      <c r="HN28" s="9"/>
      <c r="HO28" s="9"/>
      <c r="HP28" s="9"/>
      <c r="HQ28" s="9"/>
      <c r="HR28" s="9"/>
      <c r="HS28" s="9"/>
      <c r="HT28" s="9"/>
      <c r="HU28" s="9"/>
      <c r="HV28" s="9"/>
      <c r="HW28" s="9"/>
      <c r="HX28" s="9"/>
      <c r="HY28" s="9"/>
      <c r="HZ28" s="9"/>
      <c r="IA28" s="9"/>
      <c r="IB28" s="9"/>
      <c r="IC28" s="9"/>
      <c r="ID28" s="9"/>
      <c r="IE28" s="9"/>
      <c r="IF28" s="9"/>
      <c r="IG28" s="9"/>
      <c r="IH28" s="9"/>
      <c r="II28" s="9"/>
      <c r="IJ28" s="9"/>
      <c r="IK28" s="9"/>
      <c r="IL28" s="9"/>
      <c r="IM28" s="9"/>
      <c r="IN28" s="9"/>
      <c r="IO28" s="9"/>
      <c r="IP28" s="9"/>
      <c r="IQ28" s="9"/>
    </row>
    <row r="29" ht="24" customHeight="1" spans="1:251">
      <c r="D29" s="6"/>
      <c r="E29" s="6" t="s">
        <v>81</v>
      </c>
      <c r="K29" s="6"/>
      <c r="L29" s="6"/>
      <c r="M29" s="6"/>
      <c r="N29" s="6"/>
      <c r="R29" s="6"/>
      <c r="S29" s="6"/>
      <c r="U29" s="53"/>
      <c r="V29" s="53" t="s">
        <v>83</v>
      </c>
      <c r="Y29" s="6"/>
      <c r="Z29" s="6"/>
      <c r="AF29" s="6"/>
      <c r="AG29" s="6"/>
      <c r="AI29" s="6" t="s">
        <v>84</v>
      </c>
    </row>
    <row r="30" ht="33.75" customHeight="1"/>
  </sheetData>
  <mergeCells count="14">
    <mergeCell ref="A1:U1"/>
    <mergeCell ref="V1:W1"/>
    <mergeCell ref="X1:AZ1"/>
    <mergeCell ref="AK2:AY2"/>
    <mergeCell ref="D3:AH3"/>
    <mergeCell ref="D4:S4"/>
    <mergeCell ref="T4:AH4"/>
    <mergeCell ref="A3:A5"/>
    <mergeCell ref="B3:B5"/>
    <mergeCell ref="C3:C5"/>
    <mergeCell ref="AI3:AI5"/>
    <mergeCell ref="AJ3:AJ5"/>
    <mergeCell ref="AZ3:AZ5"/>
    <mergeCell ref="AK3:AY4"/>
  </mergeCells>
  <printOptions horizontalCentered="1"/>
  <pageMargins left="0.393055555555556" right="0.393055555555556" top="0.279166666666667" bottom="0.279166666666667" header="0.238888888888889" footer="0.15625"/>
  <pageSetup paperSize="9" scale="63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G26"/>
  <sheetViews>
    <sheetView zoomScale="70" zoomScaleNormal="70" workbookViewId="0">
      <selection activeCell="G19" sqref="G19"/>
    </sheetView>
  </sheetViews>
  <sheetFormatPr defaultColWidth="9" defaultRowHeight="30" customHeight="1" outlineLevelCol="6"/>
  <cols>
    <col min="1" max="2" width="9" style="1"/>
    <col min="3" max="3" width="12.875" style="1" customWidth="1"/>
    <col min="4" max="4" width="17.625" style="1" customWidth="1"/>
    <col min="5" max="5" width="18.5083333333333" style="1" customWidth="1"/>
    <col min="6" max="6" width="13.75" style="1"/>
    <col min="7" max="7" width="21.6" style="1" customWidth="1"/>
    <col min="8" max="16384" width="9" style="1"/>
  </cols>
  <sheetData>
    <row r="2" customHeight="1" spans="1:7">
      <c r="A2" s="1" t="s">
        <v>31</v>
      </c>
      <c r="B2" s="1" t="s">
        <v>32</v>
      </c>
      <c r="C2" s="1" t="s">
        <v>21</v>
      </c>
      <c r="D2" s="1" t="s">
        <v>8</v>
      </c>
      <c r="E2" s="1" t="s">
        <v>109</v>
      </c>
      <c r="F2" s="1" t="s">
        <v>110</v>
      </c>
    </row>
    <row r="3" customHeight="1" spans="1:7">
      <c r="A3" s="1">
        <v>1</v>
      </c>
      <c r="B3" s="1" t="str">
        <f>工资表!B4</f>
        <v>李全伟</v>
      </c>
      <c r="C3" s="1">
        <f>工资表!R4</f>
        <v>21</v>
      </c>
      <c r="D3" s="5">
        <f>(VLOOKUP(B3,工资表!B4:G14,6,0)+VLOOKUP(B3,工资表!B4:H14,7,0))/工资表!F4*VLOOKUP(B3,考勤!B6:AI16,34,0)</f>
        <v>25500</v>
      </c>
      <c r="E3" s="5">
        <f>VLOOKUP(B3,工资表!B4:S14,18,0)</f>
        <v>15764</v>
      </c>
      <c r="F3" s="5">
        <f t="shared" ref="F3:F22" si="0">D3-E3</f>
        <v>9736</v>
      </c>
    </row>
    <row r="4" customHeight="1" spans="1:7">
      <c r="A4" s="1">
        <v>2</v>
      </c>
      <c r="B4" s="1" t="str">
        <f>工资表!B5</f>
        <v>杨文杰</v>
      </c>
      <c r="C4" s="1">
        <f>工资表!R5</f>
        <v>21</v>
      </c>
      <c r="D4" s="5">
        <f>(VLOOKUP(B4,工资表!B5:G15,6,0)+VLOOKUP(B4,工资表!B5:H15,7,0))/工资表!F5*VLOOKUP(B4,考勤!B7:AI17,34,0)</f>
        <v>17000</v>
      </c>
      <c r="E4" s="5">
        <f>VLOOKUP(B4,工资表!B5:S15,18,0)</f>
        <v>17000</v>
      </c>
      <c r="F4" s="5">
        <f t="shared" si="0"/>
        <v>0</v>
      </c>
      <c r="G4" s="1" t="s">
        <v>111</v>
      </c>
    </row>
    <row r="5" customHeight="1" spans="1:7">
      <c r="A5" s="1">
        <v>3</v>
      </c>
      <c r="B5" s="1" t="str">
        <f>工资表!B6</f>
        <v>管锡哲</v>
      </c>
      <c r="C5" s="1">
        <f>工资表!R6</f>
        <v>0</v>
      </c>
      <c r="D5" s="5" t="e">
        <f>(VLOOKUP(B5,工资表!B6:G15,6,0)+VLOOKUP(B5,工资表!B6:H15,7,0))/工资表!F6*VLOOKUP(B5,考勤!B8:AI17,34,0)</f>
        <v>#DIV/0!</v>
      </c>
      <c r="E5" s="5">
        <f>VLOOKUP(B5,工资表!B6:S15,18,0)</f>
        <v>0</v>
      </c>
      <c r="F5" s="5" t="e">
        <f t="shared" si="0"/>
        <v>#DIV/0!</v>
      </c>
    </row>
    <row r="6" customHeight="1" spans="1:7">
      <c r="A6" s="1">
        <v>4</v>
      </c>
      <c r="B6" s="1" t="str">
        <f>工资表!B7</f>
        <v>徐惠蓉</v>
      </c>
      <c r="C6" s="1">
        <f>工资表!R7</f>
        <v>21</v>
      </c>
      <c r="D6" s="5">
        <f>(VLOOKUP(B6,工资表!B7:G16,6,0)+VLOOKUP(B6,工资表!B7:H16,7,0))/工资表!F7*VLOOKUP(B6,考勤!B9:AI18,34,0)</f>
        <v>15300</v>
      </c>
      <c r="E6" s="5">
        <f>VLOOKUP(B6,工资表!B7:S16,18,0)</f>
        <v>15600</v>
      </c>
      <c r="F6" s="5">
        <f t="shared" si="0"/>
        <v>-299.999999999987</v>
      </c>
      <c r="G6" s="1" t="s">
        <v>112</v>
      </c>
    </row>
    <row r="7" customHeight="1" spans="1:7">
      <c r="A7" s="1">
        <v>5</v>
      </c>
      <c r="B7" s="1" t="str">
        <f>工资表!B8</f>
        <v>沈陈瑾慧</v>
      </c>
      <c r="C7" s="1">
        <f>工资表!R8</f>
        <v>21</v>
      </c>
      <c r="D7" s="5">
        <f>(VLOOKUP(B7,工资表!B8:G17,6,0)+VLOOKUP(B7,工资表!B8:H17,7,0))/工资表!F8*VLOOKUP(B7,考勤!B10:AI19,34,0)</f>
        <v>7000</v>
      </c>
      <c r="E7" s="5">
        <f>VLOOKUP(B7,工资表!B8:S17,18,0)</f>
        <v>6980.00000000001</v>
      </c>
      <c r="F7" s="5">
        <f t="shared" si="0"/>
        <v>19.9999999999918</v>
      </c>
      <c r="G7" s="1" t="s">
        <v>111</v>
      </c>
    </row>
    <row r="8" customHeight="1" spans="1:7">
      <c r="A8" s="1">
        <v>6</v>
      </c>
      <c r="B8" s="1" t="str">
        <f>工资表!B9</f>
        <v>管丽萍</v>
      </c>
      <c r="C8" s="1">
        <f>工资表!R9</f>
        <v>21</v>
      </c>
      <c r="D8" s="5">
        <f>(VLOOKUP(B8,工资表!B9:G18,6,0)+VLOOKUP(B8,工资表!B9:H18,7,0))/工资表!F9*VLOOKUP(B8,考勤!B11:AI20,34,0)</f>
        <v>6000</v>
      </c>
      <c r="E8" s="5">
        <f>VLOOKUP(B8,工资表!B9:S18,18,0)</f>
        <v>6700.00000000001</v>
      </c>
      <c r="F8" s="5">
        <f t="shared" si="0"/>
        <v>-700.000000000008</v>
      </c>
      <c r="G8" s="1" t="s">
        <v>112</v>
      </c>
    </row>
    <row r="9" customHeight="1" spans="1:7">
      <c r="A9" s="1">
        <v>7</v>
      </c>
      <c r="B9" s="1" t="str">
        <f>工资表!B10</f>
        <v>刘科</v>
      </c>
      <c r="C9" s="1">
        <f>工资表!R10</f>
        <v>21</v>
      </c>
      <c r="D9" s="5">
        <f>(VLOOKUP(B9,工资表!B10:G19,6,0)+VLOOKUP(B9,工资表!B10:H19,7,0))/工资表!F10*VLOOKUP(B9,考勤!B12:AI21,34,0)</f>
        <v>7500</v>
      </c>
      <c r="E9" s="5">
        <f>VLOOKUP(B9,工资表!B10:S19,18,0)</f>
        <v>7500.00000000001</v>
      </c>
      <c r="F9" s="5">
        <f t="shared" si="0"/>
        <v>0</v>
      </c>
    </row>
    <row r="10" customHeight="1" spans="1:7">
      <c r="A10" s="1">
        <v>8</v>
      </c>
      <c r="B10" s="1" t="str">
        <f>工资表!B11</f>
        <v>高建梅</v>
      </c>
      <c r="C10" s="1">
        <f>工资表!R11</f>
        <v>21</v>
      </c>
      <c r="D10" s="5">
        <f>(VLOOKUP(B10,工资表!B11:G20,6,0)+VLOOKUP(B10,工资表!B11:H20,7,0))/工资表!F11*VLOOKUP(B10,考勤!B13:AI22,34,0)</f>
        <v>6500</v>
      </c>
      <c r="E10" s="5">
        <f>VLOOKUP(B10,工资表!B11:S20,18,0)</f>
        <v>6600.00000000001</v>
      </c>
      <c r="F10" s="5">
        <f t="shared" si="0"/>
        <v>-100.000000000008</v>
      </c>
      <c r="G10" s="1" t="s">
        <v>112</v>
      </c>
    </row>
    <row r="11" customHeight="1" spans="1:7">
      <c r="A11" s="1">
        <v>9</v>
      </c>
      <c r="B11" s="1" t="str">
        <f>工资表!B12</f>
        <v>周佳奇</v>
      </c>
      <c r="C11" s="1">
        <f>工资表!R12</f>
        <v>21</v>
      </c>
      <c r="D11" s="5">
        <f>(VLOOKUP(B11,工资表!B12:G20,6,0)+VLOOKUP(B11,工资表!B12:H20,7,0))/工资表!F12*VLOOKUP(B11,考勤!B14:AI22,34,0)</f>
        <v>7800</v>
      </c>
      <c r="E11" s="5">
        <f>VLOOKUP(B11,工资表!B12:S20,18,0)</f>
        <v>7800</v>
      </c>
      <c r="F11" s="5">
        <f t="shared" si="0"/>
        <v>0</v>
      </c>
    </row>
    <row r="12" customHeight="1" spans="1:7">
      <c r="A12" s="1">
        <v>10</v>
      </c>
      <c r="B12" s="1" t="str">
        <f>工资表!B13</f>
        <v>白媛媛</v>
      </c>
      <c r="C12" s="1">
        <f>工资表!R13</f>
        <v>21</v>
      </c>
      <c r="D12" s="5">
        <f>(VLOOKUP(B12,工资表!B13:G21,6,0)+VLOOKUP(B12,工资表!B13:H21,7,0))/工资表!F13*VLOOKUP(B12,考勤!B15:AI23,34,0)</f>
        <v>4500</v>
      </c>
      <c r="E12" s="5">
        <f>VLOOKUP(B12,工资表!B13:S21,18,0)</f>
        <v>5199.99999999999</v>
      </c>
      <c r="F12" s="5">
        <f t="shared" si="0"/>
        <v>-699.999999999992</v>
      </c>
      <c r="G12" s="1" t="s">
        <v>113</v>
      </c>
    </row>
    <row r="13" customHeight="1" spans="1:7">
      <c r="A13" s="1">
        <v>11</v>
      </c>
      <c r="B13" s="1" t="str">
        <f>工资表!B14</f>
        <v>温进进</v>
      </c>
      <c r="C13" s="1">
        <f>工资表!R14</f>
        <v>21</v>
      </c>
      <c r="D13" s="5">
        <f>(VLOOKUP(B13,工资表!B14:G22,6,0)+VLOOKUP(B13,工资表!B14:H22,7,0))/工资表!F14*VLOOKUP(B13,考勤!B16:AI24,34,0)</f>
        <v>13500</v>
      </c>
      <c r="E13" s="5">
        <f>VLOOKUP(B13,工资表!B14:S22,18,0)</f>
        <v>11850</v>
      </c>
      <c r="F13" s="5">
        <f t="shared" si="0"/>
        <v>1650</v>
      </c>
    </row>
    <row r="14" customHeight="1" spans="1:7">
      <c r="A14" s="1">
        <v>12</v>
      </c>
      <c r="B14" s="1" t="str">
        <f>工资表!B15</f>
        <v>尹江</v>
      </c>
      <c r="C14" s="1">
        <f>工资表!R15</f>
        <v>21</v>
      </c>
      <c r="D14" s="5">
        <f>(VLOOKUP(B14,工资表!B15:G22,6,0)+VLOOKUP(B14,工资表!B15:H22,7,0))/工资表!F15*VLOOKUP(B14,考勤!B17:AI24,34,0)</f>
        <v>12000</v>
      </c>
      <c r="E14" s="5">
        <f>VLOOKUP(B14,工资表!B15:S22,18,0)</f>
        <v>10350</v>
      </c>
      <c r="F14" s="5">
        <f t="shared" si="0"/>
        <v>1650.00000000001</v>
      </c>
    </row>
    <row r="15" customHeight="1" spans="1:7">
      <c r="A15" s="1">
        <v>13</v>
      </c>
      <c r="B15" s="1" t="str">
        <f>工资表!B16</f>
        <v>谢华军</v>
      </c>
      <c r="C15" s="1">
        <f>工资表!R16</f>
        <v>21</v>
      </c>
      <c r="D15" s="5">
        <f>(VLOOKUP(B15,工资表!B16:G22,6,0)+VLOOKUP(B15,工资表!B16:H22,7,0))/工资表!F16*VLOOKUP(B15,考勤!B18:AI24,34,0)</f>
        <v>4500</v>
      </c>
      <c r="E15" s="5">
        <f>VLOOKUP(B15,工资表!B16:S22,18,0)</f>
        <v>5591.45999999999</v>
      </c>
      <c r="F15" s="5">
        <f t="shared" si="0"/>
        <v>-1091.45999999999</v>
      </c>
    </row>
    <row r="16" customHeight="1" spans="1:7">
      <c r="A16" s="1">
        <v>14</v>
      </c>
      <c r="B16" s="1" t="str">
        <f>工资表!B17</f>
        <v>张志慧</v>
      </c>
      <c r="C16" s="1">
        <f>工资表!R17</f>
        <v>26</v>
      </c>
      <c r="D16" s="5">
        <f>(VLOOKUP(B16,工资表!B17:G22,6,0)+VLOOKUP(B16,工资表!B17:H22,7,0))/工资表!F17*VLOOKUP(B16,考勤!B19:AI24,34,0)</f>
        <v>5000</v>
      </c>
      <c r="E16" s="5">
        <f>VLOOKUP(B16,工资表!B17:S22,18,0)</f>
        <v>5000</v>
      </c>
      <c r="F16" s="5">
        <f t="shared" si="0"/>
        <v>0</v>
      </c>
    </row>
    <row r="17" customHeight="1" spans="1:7">
      <c r="A17" s="1">
        <v>15</v>
      </c>
      <c r="B17" s="1" t="str">
        <f>工资表!B18</f>
        <v>王荣</v>
      </c>
      <c r="C17" s="1">
        <f>工资表!R18</f>
        <v>26</v>
      </c>
      <c r="D17" s="5">
        <f>(VLOOKUP(B17,工资表!B18:G22,6,0)+VLOOKUP(B17,工资表!B18:H22,7,0))/工资表!F18*VLOOKUP(B17,考勤!B20:AI24,34,0)</f>
        <v>4000</v>
      </c>
      <c r="E17" s="5">
        <f>VLOOKUP(B17,工资表!B18:S22,18,0)</f>
        <v>24662.82</v>
      </c>
      <c r="F17" s="5">
        <f t="shared" si="0"/>
        <v>-20662.82</v>
      </c>
      <c r="G17" s="1" t="s">
        <v>17</v>
      </c>
    </row>
    <row r="18" customHeight="1" spans="1:7">
      <c r="A18" s="1">
        <v>16</v>
      </c>
      <c r="B18" s="1" t="str">
        <f>工资表!B19</f>
        <v>霍苒</v>
      </c>
      <c r="C18" s="1">
        <f>工资表!R19</f>
        <v>26</v>
      </c>
      <c r="D18" s="5">
        <f>(VLOOKUP(B18,工资表!B19:G22,6,0)+VLOOKUP(B18,工资表!B19:H22,7,0))/工资表!F19*VLOOKUP(B18,考勤!B21:AI24,34,0)</f>
        <v>5000</v>
      </c>
      <c r="E18" s="5">
        <f>VLOOKUP(B18,工资表!B19:S22,18,0)</f>
        <v>7566.18</v>
      </c>
      <c r="F18" s="5">
        <f t="shared" si="0"/>
        <v>-2566.18</v>
      </c>
      <c r="G18" s="1" t="s">
        <v>17</v>
      </c>
    </row>
    <row r="19" customHeight="1" spans="1:7">
      <c r="A19" s="1">
        <v>17</v>
      </c>
      <c r="B19" s="1" t="str">
        <f>工资表!B20</f>
        <v>闫金秀</v>
      </c>
      <c r="C19" s="1">
        <f>工资表!R20</f>
        <v>0</v>
      </c>
      <c r="D19" s="5" t="e">
        <f>(VLOOKUP(B19,工资表!B20:G22,6,0)+VLOOKUP(B19,工资表!B20:H22,7,0))/工资表!F20*VLOOKUP(B19,考勤!B22:AI24,34,0)</f>
        <v>#DIV/0!</v>
      </c>
      <c r="E19" s="5">
        <f>VLOOKUP(B19,工资表!B20:S22,18,0)</f>
        <v>892</v>
      </c>
      <c r="F19" s="5" t="e">
        <f t="shared" si="0"/>
        <v>#DIV/0!</v>
      </c>
      <c r="G19" s="1" t="s">
        <v>17</v>
      </c>
    </row>
    <row r="20" customHeight="1" spans="1:7">
      <c r="A20" s="1">
        <v>18</v>
      </c>
      <c r="B20" s="1" t="str">
        <f>工资表!B21</f>
        <v>赵江龙</v>
      </c>
      <c r="C20" s="1">
        <f>工资表!R21</f>
        <v>26</v>
      </c>
      <c r="D20" s="5">
        <f>(VLOOKUP(B20,工资表!B21:G24,6,0)+VLOOKUP(B20,工资表!B21:H24,7,0))/工资表!F21*VLOOKUP(B20,考勤!B23:AI26,34,0)</f>
        <v>0</v>
      </c>
      <c r="E20" s="5">
        <f>VLOOKUP(B20,工资表!B21:S24,18,0)</f>
        <v>15491.22</v>
      </c>
      <c r="F20" s="5">
        <f t="shared" si="0"/>
        <v>-15491.22</v>
      </c>
      <c r="G20" s="1" t="s">
        <v>17</v>
      </c>
    </row>
    <row r="21" customHeight="1" spans="1:7">
      <c r="A21" s="1">
        <v>19</v>
      </c>
      <c r="B21" s="1" t="str">
        <f>工资表!B22</f>
        <v>张新艳</v>
      </c>
      <c r="C21" s="1">
        <f>工资表!R22</f>
        <v>26</v>
      </c>
      <c r="D21" s="5">
        <f>(VLOOKUP(B21,工资表!B22:G25,6,0)+VLOOKUP(B21,工资表!B22:H25,7,0))/工资表!F22*VLOOKUP(B21,考勤!B24:AI27,34,0)</f>
        <v>4500</v>
      </c>
      <c r="E21" s="5">
        <f>VLOOKUP(B21,工资表!B22:S25,18,0)</f>
        <v>4820</v>
      </c>
      <c r="F21" s="5">
        <f t="shared" si="0"/>
        <v>-319.999999999998</v>
      </c>
      <c r="G21" s="1" t="s">
        <v>17</v>
      </c>
    </row>
    <row r="22" customHeight="1" spans="1:7">
      <c r="A22" s="1">
        <v>20</v>
      </c>
      <c r="B22" s="1" t="str">
        <f>工资表!B24</f>
        <v>王玉慧</v>
      </c>
      <c r="C22" s="1">
        <f>工资表!R24</f>
        <v>0</v>
      </c>
      <c r="D22" s="5">
        <v>0</v>
      </c>
      <c r="E22" s="5">
        <f>VLOOKUP(B22,工资表!B24:S34,18,0)</f>
        <v>4105.2</v>
      </c>
      <c r="F22" s="5">
        <f t="shared" si="0"/>
        <v>-4105.2</v>
      </c>
      <c r="G22" s="1" t="s">
        <v>17</v>
      </c>
    </row>
    <row r="26" customHeight="1" spans="1:7">
      <c r="D26" s="5" t="e">
        <f>(VLOOKUP(B22,工资表!B25:G53,6,0)+VLOOKUP(B22,工资表!B25:H53,7,0))/工资表!F25*VLOOKUP(B22,考勤!B27:AI56,34,0)</f>
        <v>#N/A</v>
      </c>
      <c r="E26" s="5" t="e">
        <f>VLOOKUP(B22,工资表!B25:S53,17,0)</f>
        <v>#N/A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E13"/>
  <sheetViews>
    <sheetView workbookViewId="0">
      <selection activeCell="B15" sqref="B15"/>
    </sheetView>
  </sheetViews>
  <sheetFormatPr defaultColWidth="9" defaultRowHeight="30" customHeight="1" outlineLevelCol="4"/>
  <cols>
    <col min="1" max="2" width="9" style="1"/>
    <col min="3" max="4" width="17.125" style="1" customWidth="1"/>
    <col min="5" max="5" width="12.875" style="1" customWidth="1"/>
    <col min="6" max="16384" width="9" style="1"/>
  </cols>
  <sheetData>
    <row r="2" customHeight="1" spans="2:5">
      <c r="B2" s="2" t="s">
        <v>34</v>
      </c>
      <c r="C2" s="2" t="s">
        <v>114</v>
      </c>
      <c r="D2" s="2" t="s">
        <v>115</v>
      </c>
      <c r="E2" s="2" t="s">
        <v>116</v>
      </c>
    </row>
    <row r="3" hidden="1" customHeight="1" spans="2:5">
      <c r="B3" s="2" t="s">
        <v>117</v>
      </c>
      <c r="C3" s="3">
        <v>1</v>
      </c>
      <c r="D3" s="2">
        <v>0</v>
      </c>
      <c r="E3" s="2">
        <v>0</v>
      </c>
    </row>
    <row r="4" hidden="1" customHeight="1" spans="2:5">
      <c r="B4" s="2" t="s">
        <v>118</v>
      </c>
      <c r="C4" s="4">
        <v>0.375</v>
      </c>
      <c r="D4" s="4">
        <v>0.375</v>
      </c>
      <c r="E4" s="3">
        <v>0.25</v>
      </c>
    </row>
    <row r="5" hidden="1" customHeight="1" spans="2:5">
      <c r="B5" s="2" t="s">
        <v>119</v>
      </c>
      <c r="C5" s="4">
        <v>0.375</v>
      </c>
      <c r="D5" s="4">
        <v>0.375</v>
      </c>
      <c r="E5" s="3">
        <v>0.25</v>
      </c>
    </row>
    <row r="6" hidden="1" customHeight="1" spans="2:5">
      <c r="B6" s="2" t="s">
        <v>120</v>
      </c>
      <c r="C6" s="4">
        <v>0.375</v>
      </c>
      <c r="D6" s="4">
        <v>0.375</v>
      </c>
      <c r="E6" s="3">
        <v>0.25</v>
      </c>
    </row>
    <row r="7" hidden="1" customHeight="1" spans="2:5">
      <c r="B7" s="2" t="s">
        <v>121</v>
      </c>
      <c r="C7" s="4">
        <v>0.375</v>
      </c>
      <c r="D7" s="4">
        <v>0.375</v>
      </c>
      <c r="E7" s="3">
        <v>0.25</v>
      </c>
    </row>
    <row r="8" customHeight="1" spans="2:5">
      <c r="B8" s="2" t="s">
        <v>38</v>
      </c>
      <c r="C8" s="3">
        <v>0.51</v>
      </c>
      <c r="D8" s="3">
        <v>0.34</v>
      </c>
      <c r="E8" s="3">
        <v>0.15</v>
      </c>
    </row>
    <row r="9" customHeight="1" spans="2:5">
      <c r="B9" s="2" t="s">
        <v>41</v>
      </c>
      <c r="C9" s="3">
        <v>0.51</v>
      </c>
      <c r="D9" s="3">
        <v>0.34</v>
      </c>
      <c r="E9" s="3">
        <v>0.15</v>
      </c>
    </row>
    <row r="10" customHeight="1" spans="2:5">
      <c r="B10" s="2" t="s">
        <v>122</v>
      </c>
      <c r="C10" s="3">
        <v>0.51</v>
      </c>
      <c r="D10" s="3">
        <v>0.34</v>
      </c>
      <c r="E10" s="3">
        <v>0.15</v>
      </c>
    </row>
    <row r="11" customHeight="1" spans="2:5">
      <c r="B11" s="2" t="s">
        <v>123</v>
      </c>
      <c r="C11" s="3">
        <v>0.7</v>
      </c>
      <c r="D11" s="3">
        <v>0.3</v>
      </c>
      <c r="E11" s="3">
        <v>0</v>
      </c>
    </row>
    <row r="12" customHeight="1" spans="2:5">
      <c r="B12" s="2" t="s">
        <v>48</v>
      </c>
      <c r="C12" s="3">
        <v>0.8</v>
      </c>
      <c r="D12" s="3">
        <v>0.2</v>
      </c>
      <c r="E12" s="3">
        <v>0</v>
      </c>
    </row>
    <row r="13" customHeight="1" spans="2:5">
      <c r="B13" s="2" t="s">
        <v>68</v>
      </c>
      <c r="C13" s="2"/>
      <c r="D13" s="2"/>
      <c r="E13" s="2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工资汇总表</vt:lpstr>
      <vt:lpstr>工资表</vt:lpstr>
      <vt:lpstr>考勤</vt:lpstr>
      <vt:lpstr>校验</vt:lpstr>
      <vt:lpstr>职务序列取数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任霄</dc:creator>
  <cp:lastModifiedBy>WPS_1567389243</cp:lastModifiedBy>
  <dcterms:created xsi:type="dcterms:W3CDTF">2023-05-12T11:15:00Z</dcterms:created>
  <dcterms:modified xsi:type="dcterms:W3CDTF">2026-05-21T02:30:40Z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KSOReadingLayout">
    <vt:bool>true</vt:bool>
  </property>
  <property fmtid="{D5CDD505-2E9C-101B-9397-08002B2CF9AE}" pid="4" name="ICV">
    <vt:lpwstr>8887316B169B4F5688E73F525959590D_13</vt:lpwstr>
  </property>
  <property fmtid="{D5CDD505-2E9C-101B-9397-08002B2CF9AE}" pid="5" name="CalculationRule">
    <vt:i4>0</vt:i4>
  </property>
</Properties>
</file>